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90d586f232727b/New Business/Nicole Gray/Tuscaloosa 2025 BIP/2025 BCA/"/>
    </mc:Choice>
  </mc:AlternateContent>
  <xr:revisionPtr revIDLastSave="825" documentId="8_{BE44D683-7D35-48F7-B212-46CCCA276D57}" xr6:coauthVersionLast="47" xr6:coauthVersionMax="47" xr10:uidLastSave="{A681836E-88E5-4C71-AF34-ADDF30925C3B}"/>
  <bookViews>
    <workbookView xWindow="-120" yWindow="-120" windowWidth="29040" windowHeight="15720" firstSheet="8" activeTab="14" xr2:uid="{00000000-000D-0000-FFFF-FFFF00000000}"/>
  </bookViews>
  <sheets>
    <sheet name="Assumptions" sheetId="12" r:id="rId1"/>
    <sheet name="Vehicle Operation" sheetId="56" r:id="rId2"/>
    <sheet name="Health Benefits" sheetId="61" r:id="rId3"/>
    <sheet name="Cycling Journey" sheetId="67" r:id="rId4"/>
    <sheet name="SO2" sheetId="55" r:id="rId5"/>
    <sheet name="PM 2.5" sheetId="63" r:id="rId6"/>
    <sheet name="NOx" sheetId="54" r:id="rId7"/>
    <sheet name="Fuel Savings" sheetId="53" r:id="rId8"/>
    <sheet name="Travl Time Reduction" sheetId="52" r:id="rId9"/>
    <sheet name="Stillman Acc Ana" sheetId="39" r:id="rId10"/>
    <sheet name="Stillman Acc Benefits" sheetId="16" r:id="rId11"/>
    <sheet name="Sheet1" sheetId="68" r:id="rId12"/>
    <sheet name="High Level Prjc Cost" sheetId="58" r:id="rId13"/>
    <sheet name="Project Schedule" sheetId="64" r:id="rId14"/>
    <sheet name="7%NPV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6" l="1"/>
  <c r="H5" i="16"/>
  <c r="G5" i="16"/>
  <c r="F5" i="16"/>
  <c r="E5" i="16"/>
  <c r="D5" i="16"/>
  <c r="J11" i="11"/>
  <c r="E43" i="11"/>
  <c r="E41" i="11"/>
  <c r="E39" i="11"/>
  <c r="E38" i="11"/>
  <c r="E37" i="11"/>
  <c r="E34" i="11"/>
  <c r="E32" i="11"/>
  <c r="E30" i="11"/>
  <c r="E28" i="11"/>
  <c r="E26" i="11"/>
  <c r="E24" i="11"/>
  <c r="E22" i="11"/>
  <c r="E20" i="11"/>
  <c r="E19" i="11"/>
  <c r="E18" i="11"/>
  <c r="E16" i="11"/>
  <c r="M14" i="11"/>
  <c r="M13" i="11"/>
  <c r="M12" i="11"/>
  <c r="J12" i="11"/>
  <c r="C18" i="68"/>
  <c r="U44" i="11"/>
  <c r="U43" i="11"/>
  <c r="J44" i="11"/>
  <c r="K44" i="11"/>
  <c r="F40" i="53"/>
  <c r="L30" i="52"/>
  <c r="H35" i="52"/>
  <c r="E5" i="53" l="1"/>
  <c r="E5" i="61"/>
  <c r="F5" i="56"/>
  <c r="B5" i="67"/>
  <c r="H5" i="67" s="1"/>
  <c r="V14" i="11" s="1"/>
  <c r="H34" i="55"/>
  <c r="H33" i="55"/>
  <c r="H32" i="55"/>
  <c r="H31" i="55"/>
  <c r="H30" i="55"/>
  <c r="H29" i="55"/>
  <c r="H28" i="55"/>
  <c r="H27" i="55"/>
  <c r="H26" i="55"/>
  <c r="H25" i="55"/>
  <c r="H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G5" i="56"/>
  <c r="D33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C7" i="55"/>
  <c r="C6" i="55"/>
  <c r="C5" i="55"/>
  <c r="H34" i="63" l="1"/>
  <c r="H33" i="63"/>
  <c r="H32" i="63"/>
  <c r="H31" i="63"/>
  <c r="H30" i="63"/>
  <c r="H29" i="63"/>
  <c r="H28" i="63"/>
  <c r="H27" i="63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6" i="63"/>
  <c r="H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C5" i="63"/>
  <c r="C5" i="54"/>
  <c r="C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6" i="53"/>
  <c r="I5" i="56"/>
  <c r="H4" i="52"/>
  <c r="O8" i="52"/>
  <c r="F4" i="52"/>
  <c r="O4" i="52" s="1"/>
  <c r="E5" i="67" l="1"/>
  <c r="E6" i="67" s="1"/>
  <c r="E7" i="67" s="1"/>
  <c r="E8" i="67" s="1"/>
  <c r="E9" i="67" s="1"/>
  <c r="E10" i="67" s="1"/>
  <c r="E11" i="67" s="1"/>
  <c r="E12" i="67" s="1"/>
  <c r="E13" i="67" s="1"/>
  <c r="E14" i="67" s="1"/>
  <c r="E15" i="67" s="1"/>
  <c r="E16" i="67" s="1"/>
  <c r="E17" i="67" s="1"/>
  <c r="E18" i="67" s="1"/>
  <c r="E19" i="67" s="1"/>
  <c r="E20" i="67" s="1"/>
  <c r="E21" i="67" s="1"/>
  <c r="E22" i="67" s="1"/>
  <c r="E23" i="67" s="1"/>
  <c r="E24" i="67" s="1"/>
  <c r="E25" i="67" s="1"/>
  <c r="E26" i="67" s="1"/>
  <c r="E27" i="67" s="1"/>
  <c r="E28" i="67" s="1"/>
  <c r="E29" i="67" s="1"/>
  <c r="E30" i="67" s="1"/>
  <c r="E31" i="67" s="1"/>
  <c r="E32" i="67" s="1"/>
  <c r="E33" i="67" s="1"/>
  <c r="E34" i="67" s="1"/>
  <c r="G5" i="61"/>
  <c r="H35" i="39"/>
  <c r="H34" i="39"/>
  <c r="H33" i="39"/>
  <c r="H32" i="39"/>
  <c r="H31" i="39"/>
  <c r="H30" i="39"/>
  <c r="E26" i="39"/>
  <c r="E25" i="39"/>
  <c r="E24" i="39"/>
  <c r="E23" i="39"/>
  <c r="E22" i="39"/>
  <c r="E21" i="39"/>
  <c r="E20" i="39"/>
  <c r="F35" i="39"/>
  <c r="E34" i="39"/>
  <c r="E33" i="39"/>
  <c r="E32" i="39"/>
  <c r="E31" i="39"/>
  <c r="E30" i="39"/>
  <c r="D35" i="39"/>
  <c r="D34" i="39"/>
  <c r="D33" i="39"/>
  <c r="D32" i="39"/>
  <c r="D31" i="39"/>
  <c r="D30" i="39"/>
  <c r="D23" i="39"/>
  <c r="D22" i="39"/>
  <c r="D21" i="39"/>
  <c r="D20" i="39"/>
  <c r="C24" i="39"/>
  <c r="F24" i="39"/>
  <c r="F23" i="39"/>
  <c r="F22" i="39"/>
  <c r="F21" i="39"/>
  <c r="F20" i="39"/>
  <c r="D16" i="39"/>
  <c r="D15" i="39"/>
  <c r="D14" i="39"/>
  <c r="D13" i="39"/>
  <c r="D12" i="39"/>
  <c r="D11" i="39"/>
  <c r="C15" i="39"/>
  <c r="B6" i="67"/>
  <c r="H6" i="67" s="1"/>
  <c r="V15" i="11" s="1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C6" i="67"/>
  <c r="C7" i="67" s="1"/>
  <c r="C8" i="67" s="1"/>
  <c r="C9" i="67" s="1"/>
  <c r="C10" i="67" s="1"/>
  <c r="C11" i="67" s="1"/>
  <c r="C12" i="67" s="1"/>
  <c r="C13" i="67" s="1"/>
  <c r="C14" i="67" s="1"/>
  <c r="C15" i="67" s="1"/>
  <c r="C16" i="67" s="1"/>
  <c r="C17" i="67" s="1"/>
  <c r="C18" i="67" s="1"/>
  <c r="C19" i="67" s="1"/>
  <c r="C20" i="67" s="1"/>
  <c r="C21" i="67" s="1"/>
  <c r="C22" i="67" s="1"/>
  <c r="C23" i="67" s="1"/>
  <c r="C24" i="67" s="1"/>
  <c r="C25" i="67" s="1"/>
  <c r="C26" i="67" s="1"/>
  <c r="C27" i="67" s="1"/>
  <c r="C28" i="67" s="1"/>
  <c r="C29" i="67" s="1"/>
  <c r="C30" i="67" s="1"/>
  <c r="C31" i="67" s="1"/>
  <c r="C32" i="67" s="1"/>
  <c r="C33" i="67" s="1"/>
  <c r="C34" i="67" s="1"/>
  <c r="G5" i="67"/>
  <c r="G35" i="67" s="1"/>
  <c r="B7" i="67" l="1"/>
  <c r="H7" i="67" s="1"/>
  <c r="V16" i="11" s="1"/>
  <c r="D33" i="63"/>
  <c r="D32" i="63"/>
  <c r="D31" i="63"/>
  <c r="D30" i="63"/>
  <c r="D27" i="63"/>
  <c r="D26" i="63"/>
  <c r="D23" i="63"/>
  <c r="D22" i="63"/>
  <c r="D21" i="63"/>
  <c r="D20" i="63"/>
  <c r="D19" i="63"/>
  <c r="D18" i="63"/>
  <c r="D17" i="63"/>
  <c r="D16" i="63"/>
  <c r="D15" i="63"/>
  <c r="D13" i="63"/>
  <c r="D12" i="63"/>
  <c r="D11" i="63"/>
  <c r="D10" i="63"/>
  <c r="D9" i="63"/>
  <c r="D34" i="63"/>
  <c r="D29" i="63"/>
  <c r="D28" i="63"/>
  <c r="D25" i="63"/>
  <c r="D24" i="63"/>
  <c r="D14" i="63"/>
  <c r="D8" i="63"/>
  <c r="D7" i="63"/>
  <c r="G6" i="63"/>
  <c r="G7" i="63" s="1"/>
  <c r="G8" i="63" s="1"/>
  <c r="G9" i="63" s="1"/>
  <c r="G10" i="63" s="1"/>
  <c r="G11" i="63" s="1"/>
  <c r="G12" i="63" s="1"/>
  <c r="G13" i="63" s="1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G24" i="63" s="1"/>
  <c r="G25" i="63" s="1"/>
  <c r="G26" i="63" s="1"/>
  <c r="G27" i="63" s="1"/>
  <c r="G28" i="63" s="1"/>
  <c r="G29" i="63" s="1"/>
  <c r="G30" i="63" s="1"/>
  <c r="G31" i="63" s="1"/>
  <c r="G32" i="63" s="1"/>
  <c r="G33" i="63" s="1"/>
  <c r="G34" i="63" s="1"/>
  <c r="D5" i="63"/>
  <c r="D25" i="39"/>
  <c r="D26" i="39"/>
  <c r="D24" i="39"/>
  <c r="B8" i="67" l="1"/>
  <c r="H8" i="67" s="1"/>
  <c r="V17" i="11" s="1"/>
  <c r="C35" i="63"/>
  <c r="D6" i="63"/>
  <c r="S15" i="11" s="1"/>
  <c r="S16" i="11"/>
  <c r="S22" i="11"/>
  <c r="S21" i="11"/>
  <c r="S18" i="11"/>
  <c r="S17" i="11"/>
  <c r="S19" i="11"/>
  <c r="S20" i="11"/>
  <c r="I5" i="61"/>
  <c r="W14" i="11" s="1"/>
  <c r="E6" i="61"/>
  <c r="E7" i="61" s="1"/>
  <c r="E8" i="61" s="1"/>
  <c r="E9" i="61" s="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E22" i="61" s="1"/>
  <c r="E23" i="61" s="1"/>
  <c r="E24" i="61" s="1"/>
  <c r="E25" i="61" s="1"/>
  <c r="E26" i="61" s="1"/>
  <c r="E27" i="61" s="1"/>
  <c r="E28" i="61" s="1"/>
  <c r="E29" i="61" s="1"/>
  <c r="E30" i="61" s="1"/>
  <c r="E31" i="61" s="1"/>
  <c r="E32" i="61" s="1"/>
  <c r="E33" i="61" s="1"/>
  <c r="E34" i="61" s="1"/>
  <c r="C34" i="61"/>
  <c r="F6" i="61"/>
  <c r="F7" i="61" s="1"/>
  <c r="F8" i="61" s="1"/>
  <c r="F9" i="61" s="1"/>
  <c r="F10" i="61" s="1"/>
  <c r="F11" i="61" s="1"/>
  <c r="F12" i="61" s="1"/>
  <c r="F13" i="61" s="1"/>
  <c r="F14" i="61" s="1"/>
  <c r="F15" i="61" s="1"/>
  <c r="F16" i="61" s="1"/>
  <c r="F17" i="61" s="1"/>
  <c r="F18" i="61" s="1"/>
  <c r="F19" i="61" s="1"/>
  <c r="F20" i="61" s="1"/>
  <c r="F21" i="61" s="1"/>
  <c r="F22" i="61" s="1"/>
  <c r="F23" i="61" s="1"/>
  <c r="F24" i="61" s="1"/>
  <c r="F25" i="61" s="1"/>
  <c r="F26" i="61" s="1"/>
  <c r="F27" i="61" s="1"/>
  <c r="F28" i="61" s="1"/>
  <c r="F29" i="61" s="1"/>
  <c r="F30" i="61" s="1"/>
  <c r="F31" i="61" s="1"/>
  <c r="F32" i="61" s="1"/>
  <c r="F33" i="61" s="1"/>
  <c r="F34" i="61" s="1"/>
  <c r="B6" i="61"/>
  <c r="B7" i="61" s="1"/>
  <c r="C5" i="61"/>
  <c r="I43" i="11"/>
  <c r="I41" i="11"/>
  <c r="I39" i="11"/>
  <c r="I38" i="11"/>
  <c r="I37" i="11"/>
  <c r="I34" i="11"/>
  <c r="I32" i="11"/>
  <c r="I30" i="11"/>
  <c r="I28" i="11"/>
  <c r="I26" i="11"/>
  <c r="I19" i="11"/>
  <c r="I24" i="11"/>
  <c r="I22" i="11"/>
  <c r="I20" i="11"/>
  <c r="I18" i="11"/>
  <c r="I16" i="11"/>
  <c r="C6" i="56"/>
  <c r="C5" i="56"/>
  <c r="M30" i="56"/>
  <c r="K30" i="56"/>
  <c r="G6" i="56"/>
  <c r="C71" i="52"/>
  <c r="C44" i="52"/>
  <c r="C45" i="52" s="1"/>
  <c r="C46" i="52" s="1"/>
  <c r="C47" i="52" s="1"/>
  <c r="C48" i="52" s="1"/>
  <c r="C49" i="52" s="1"/>
  <c r="C50" i="52" s="1"/>
  <c r="C51" i="52" s="1"/>
  <c r="C52" i="52" s="1"/>
  <c r="C53" i="52" s="1"/>
  <c r="C54" i="52" s="1"/>
  <c r="C55" i="52" s="1"/>
  <c r="C56" i="52" s="1"/>
  <c r="C57" i="52" s="1"/>
  <c r="C58" i="52" s="1"/>
  <c r="C59" i="52" s="1"/>
  <c r="C60" i="52" s="1"/>
  <c r="C61" i="52" s="1"/>
  <c r="C62" i="52" s="1"/>
  <c r="C63" i="52" s="1"/>
  <c r="C64" i="52" s="1"/>
  <c r="C65" i="52" s="1"/>
  <c r="C66" i="52" s="1"/>
  <c r="C67" i="52" s="1"/>
  <c r="C68" i="52" s="1"/>
  <c r="C69" i="52" s="1"/>
  <c r="C70" i="52" s="1"/>
  <c r="C43" i="52"/>
  <c r="C5" i="52"/>
  <c r="C6" i="52" s="1"/>
  <c r="C7" i="52" s="1"/>
  <c r="C8" i="52" s="1"/>
  <c r="C9" i="52" s="1"/>
  <c r="C10" i="52" s="1"/>
  <c r="C11" i="52" s="1"/>
  <c r="C12" i="52" s="1"/>
  <c r="C13" i="52" s="1"/>
  <c r="C14" i="52" s="1"/>
  <c r="C15" i="52" s="1"/>
  <c r="C16" i="52" s="1"/>
  <c r="C17" i="52" s="1"/>
  <c r="C18" i="52" s="1"/>
  <c r="C19" i="52" s="1"/>
  <c r="C20" i="52" s="1"/>
  <c r="C21" i="52" s="1"/>
  <c r="C22" i="52" s="1"/>
  <c r="C23" i="52" s="1"/>
  <c r="C24" i="52" s="1"/>
  <c r="C25" i="52" s="1"/>
  <c r="C26" i="52" s="1"/>
  <c r="C27" i="52" s="1"/>
  <c r="C28" i="52" s="1"/>
  <c r="C29" i="52" s="1"/>
  <c r="C30" i="52" s="1"/>
  <c r="C31" i="52" s="1"/>
  <c r="C32" i="52" s="1"/>
  <c r="G7" i="56" l="1"/>
  <c r="D35" i="63"/>
  <c r="B9" i="67"/>
  <c r="H9" i="67" s="1"/>
  <c r="V18" i="11" s="1"/>
  <c r="S23" i="11"/>
  <c r="G6" i="61"/>
  <c r="G7" i="61" s="1"/>
  <c r="G8" i="61" s="1"/>
  <c r="I7" i="61"/>
  <c r="W16" i="11" s="1"/>
  <c r="C7" i="61"/>
  <c r="B8" i="61"/>
  <c r="C6" i="61"/>
  <c r="G8" i="56" l="1"/>
  <c r="B10" i="67"/>
  <c r="H10" i="67" s="1"/>
  <c r="V19" i="11" s="1"/>
  <c r="S24" i="11"/>
  <c r="I6" i="61"/>
  <c r="W15" i="11" s="1"/>
  <c r="G9" i="61"/>
  <c r="I8" i="61"/>
  <c r="W17" i="11" s="1"/>
  <c r="C8" i="61"/>
  <c r="B9" i="61"/>
  <c r="G9" i="56" l="1"/>
  <c r="B11" i="67"/>
  <c r="H11" i="67" s="1"/>
  <c r="V20" i="11" s="1"/>
  <c r="S25" i="11"/>
  <c r="G10" i="61"/>
  <c r="I9" i="61"/>
  <c r="W18" i="11" s="1"/>
  <c r="B10" i="61"/>
  <c r="C9" i="61"/>
  <c r="G10" i="56" l="1"/>
  <c r="B12" i="67"/>
  <c r="H12" i="67" s="1"/>
  <c r="V21" i="11" s="1"/>
  <c r="S26" i="11"/>
  <c r="G11" i="61"/>
  <c r="I10" i="61"/>
  <c r="W19" i="11" s="1"/>
  <c r="B11" i="61"/>
  <c r="C10" i="61"/>
  <c r="G11" i="56" l="1"/>
  <c r="B13" i="67"/>
  <c r="H13" i="67" s="1"/>
  <c r="V22" i="11" s="1"/>
  <c r="S27" i="11"/>
  <c r="G12" i="61"/>
  <c r="I11" i="61"/>
  <c r="W20" i="11" s="1"/>
  <c r="C11" i="61"/>
  <c r="B12" i="61"/>
  <c r="G12" i="56" l="1"/>
  <c r="B14" i="67"/>
  <c r="H14" i="67" s="1"/>
  <c r="V23" i="11" s="1"/>
  <c r="S28" i="11"/>
  <c r="G13" i="61"/>
  <c r="I12" i="61"/>
  <c r="W21" i="11" s="1"/>
  <c r="B13" i="61"/>
  <c r="C12" i="61"/>
  <c r="F5" i="52"/>
  <c r="C34" i="52"/>
  <c r="H5" i="52"/>
  <c r="H6" i="52" s="1"/>
  <c r="H7" i="52" s="1"/>
  <c r="H8" i="52" s="1"/>
  <c r="H9" i="52" s="1"/>
  <c r="H10" i="52" s="1"/>
  <c r="H11" i="52" s="1"/>
  <c r="H12" i="52" s="1"/>
  <c r="H13" i="52" s="1"/>
  <c r="H14" i="52" s="1"/>
  <c r="H15" i="52" s="1"/>
  <c r="H16" i="52" s="1"/>
  <c r="H17" i="52" s="1"/>
  <c r="H18" i="52" s="1"/>
  <c r="H19" i="52" s="1"/>
  <c r="H20" i="52" s="1"/>
  <c r="H21" i="52" s="1"/>
  <c r="H22" i="52" s="1"/>
  <c r="H23" i="52" s="1"/>
  <c r="H24" i="52" s="1"/>
  <c r="H25" i="52" s="1"/>
  <c r="H26" i="52" s="1"/>
  <c r="H27" i="52" s="1"/>
  <c r="H28" i="52" s="1"/>
  <c r="H29" i="52" s="1"/>
  <c r="H30" i="52" s="1"/>
  <c r="H31" i="52" s="1"/>
  <c r="H32" i="52" s="1"/>
  <c r="H33" i="52" s="1"/>
  <c r="C35" i="55"/>
  <c r="D5" i="55"/>
  <c r="E6" i="56"/>
  <c r="E7" i="56" s="1"/>
  <c r="E8" i="56" s="1"/>
  <c r="E9" i="56" s="1"/>
  <c r="E10" i="56" s="1"/>
  <c r="E11" i="56" s="1"/>
  <c r="E12" i="56" s="1"/>
  <c r="E13" i="56" s="1"/>
  <c r="E14" i="56" s="1"/>
  <c r="E15" i="56" s="1"/>
  <c r="E16" i="56" s="1"/>
  <c r="E17" i="56" s="1"/>
  <c r="E18" i="56" s="1"/>
  <c r="E19" i="56" s="1"/>
  <c r="E20" i="56" s="1"/>
  <c r="E21" i="56" s="1"/>
  <c r="E22" i="56" s="1"/>
  <c r="E23" i="56" s="1"/>
  <c r="E24" i="56" s="1"/>
  <c r="E25" i="56" s="1"/>
  <c r="E26" i="56" s="1"/>
  <c r="E27" i="56" s="1"/>
  <c r="E28" i="56" s="1"/>
  <c r="E29" i="56" s="1"/>
  <c r="E30" i="56" s="1"/>
  <c r="E31" i="56" s="1"/>
  <c r="E32" i="56" s="1"/>
  <c r="E33" i="56" s="1"/>
  <c r="E34" i="56" s="1"/>
  <c r="F6" i="56"/>
  <c r="D34" i="55"/>
  <c r="D33" i="55"/>
  <c r="D32" i="55"/>
  <c r="D31" i="55"/>
  <c r="D30" i="55"/>
  <c r="D29" i="55"/>
  <c r="D28" i="55"/>
  <c r="D27" i="55"/>
  <c r="D26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G6" i="55"/>
  <c r="G7" i="55" s="1"/>
  <c r="G8" i="55" s="1"/>
  <c r="G9" i="55" s="1"/>
  <c r="G10" i="55" s="1"/>
  <c r="G11" i="55" s="1"/>
  <c r="G12" i="55" s="1"/>
  <c r="G13" i="55" s="1"/>
  <c r="G14" i="55" s="1"/>
  <c r="G15" i="55" s="1"/>
  <c r="G16" i="55" s="1"/>
  <c r="G17" i="55" s="1"/>
  <c r="G18" i="55" s="1"/>
  <c r="G19" i="55" s="1"/>
  <c r="G20" i="55" s="1"/>
  <c r="G21" i="55" s="1"/>
  <c r="G22" i="55" s="1"/>
  <c r="G23" i="55" s="1"/>
  <c r="G24" i="55" s="1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D6" i="55"/>
  <c r="D34" i="54"/>
  <c r="D33" i="54"/>
  <c r="D32" i="54"/>
  <c r="D31" i="54"/>
  <c r="D30" i="54"/>
  <c r="D29" i="54"/>
  <c r="D28" i="54"/>
  <c r="D27" i="54"/>
  <c r="D26" i="54"/>
  <c r="D25" i="54"/>
  <c r="D24" i="54"/>
  <c r="D23" i="54"/>
  <c r="D22" i="54"/>
  <c r="D21" i="54"/>
  <c r="D20" i="54"/>
  <c r="D19" i="54"/>
  <c r="D18" i="54"/>
  <c r="D17" i="54"/>
  <c r="D16" i="54"/>
  <c r="D15" i="54"/>
  <c r="D14" i="54"/>
  <c r="D13" i="54"/>
  <c r="D12" i="54"/>
  <c r="D11" i="54"/>
  <c r="D10" i="54"/>
  <c r="D9" i="54"/>
  <c r="D8" i="54"/>
  <c r="D7" i="54"/>
  <c r="G6" i="54"/>
  <c r="G7" i="54" s="1"/>
  <c r="G8" i="54" s="1"/>
  <c r="G9" i="54" s="1"/>
  <c r="G10" i="54" s="1"/>
  <c r="G11" i="54" s="1"/>
  <c r="G12" i="54" s="1"/>
  <c r="G13" i="54" s="1"/>
  <c r="G14" i="54" s="1"/>
  <c r="G15" i="54" s="1"/>
  <c r="G16" i="54" s="1"/>
  <c r="G17" i="54" s="1"/>
  <c r="G18" i="54" s="1"/>
  <c r="G19" i="54" s="1"/>
  <c r="G20" i="54" s="1"/>
  <c r="G21" i="54" s="1"/>
  <c r="G22" i="54" s="1"/>
  <c r="G23" i="54" s="1"/>
  <c r="G24" i="54" s="1"/>
  <c r="G25" i="54" s="1"/>
  <c r="G26" i="54" s="1"/>
  <c r="G27" i="54" s="1"/>
  <c r="G28" i="54" s="1"/>
  <c r="G29" i="54" s="1"/>
  <c r="G30" i="54" s="1"/>
  <c r="G31" i="54" s="1"/>
  <c r="G32" i="54" s="1"/>
  <c r="G33" i="54" s="1"/>
  <c r="G34" i="54" s="1"/>
  <c r="D6" i="54"/>
  <c r="D5" i="54"/>
  <c r="H5" i="54" s="1"/>
  <c r="F6" i="53"/>
  <c r="F7" i="53" s="1"/>
  <c r="F8" i="53" s="1"/>
  <c r="F9" i="53" s="1"/>
  <c r="F10" i="53" s="1"/>
  <c r="F11" i="53" s="1"/>
  <c r="F12" i="53" s="1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F29" i="53" s="1"/>
  <c r="F30" i="53" s="1"/>
  <c r="F31" i="53" s="1"/>
  <c r="F32" i="53" s="1"/>
  <c r="F33" i="53" s="1"/>
  <c r="F34" i="53" s="1"/>
  <c r="E6" i="53"/>
  <c r="G5" i="52"/>
  <c r="G6" i="52" s="1"/>
  <c r="G7" i="52" s="1"/>
  <c r="G8" i="52" s="1"/>
  <c r="G9" i="52" s="1"/>
  <c r="G10" i="52" s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F7" i="56" l="1"/>
  <c r="I7" i="56" s="1"/>
  <c r="I6" i="56"/>
  <c r="Z15" i="11" s="1"/>
  <c r="G13" i="56"/>
  <c r="B15" i="67"/>
  <c r="H15" i="67" s="1"/>
  <c r="V24" i="11" s="1"/>
  <c r="S29" i="11"/>
  <c r="G14" i="61"/>
  <c r="I13" i="61"/>
  <c r="W22" i="11" s="1"/>
  <c r="C13" i="61"/>
  <c r="B14" i="61"/>
  <c r="J5" i="52"/>
  <c r="P15" i="11" s="1"/>
  <c r="D35" i="54"/>
  <c r="D35" i="55"/>
  <c r="Z14" i="11"/>
  <c r="Z16" i="11"/>
  <c r="F8" i="56"/>
  <c r="J6" i="55"/>
  <c r="T15" i="11" s="1"/>
  <c r="R15" i="11"/>
  <c r="R16" i="11"/>
  <c r="R18" i="11"/>
  <c r="R17" i="11"/>
  <c r="R14" i="11"/>
  <c r="C35" i="54"/>
  <c r="E7" i="53"/>
  <c r="G6" i="53"/>
  <c r="Q15" i="11" s="1"/>
  <c r="F6" i="52"/>
  <c r="J6" i="52" s="1"/>
  <c r="P16" i="11" s="1"/>
  <c r="F9" i="56" l="1"/>
  <c r="I8" i="56"/>
  <c r="Z17" i="11" s="1"/>
  <c r="G14" i="56"/>
  <c r="B16" i="67"/>
  <c r="H16" i="67" s="1"/>
  <c r="V25" i="11" s="1"/>
  <c r="S30" i="11"/>
  <c r="G15" i="61"/>
  <c r="I14" i="61"/>
  <c r="W23" i="11" s="1"/>
  <c r="B15" i="61"/>
  <c r="C14" i="61"/>
  <c r="R19" i="11"/>
  <c r="J7" i="55"/>
  <c r="T16" i="11" s="1"/>
  <c r="J5" i="55"/>
  <c r="T14" i="11" s="1"/>
  <c r="J8" i="55"/>
  <c r="T17" i="11" s="1"/>
  <c r="R20" i="11"/>
  <c r="E8" i="53"/>
  <c r="G7" i="53"/>
  <c r="Q16" i="11" s="1"/>
  <c r="F7" i="52"/>
  <c r="J7" i="52" s="1"/>
  <c r="P17" i="11" s="1"/>
  <c r="F10" i="56" l="1"/>
  <c r="I9" i="56"/>
  <c r="Z18" i="11" s="1"/>
  <c r="G15" i="56"/>
  <c r="B17" i="67"/>
  <c r="H17" i="67" s="1"/>
  <c r="V26" i="11" s="1"/>
  <c r="S31" i="11"/>
  <c r="G16" i="61"/>
  <c r="I15" i="61"/>
  <c r="W24" i="11" s="1"/>
  <c r="C15" i="61"/>
  <c r="B16" i="61"/>
  <c r="J9" i="55"/>
  <c r="T18" i="11" s="1"/>
  <c r="R21" i="11"/>
  <c r="G8" i="53"/>
  <c r="Q17" i="11" s="1"/>
  <c r="E9" i="53"/>
  <c r="F8" i="52"/>
  <c r="J8" i="52" s="1"/>
  <c r="P18" i="11" s="1"/>
  <c r="C16" i="39"/>
  <c r="F11" i="56" l="1"/>
  <c r="I10" i="56"/>
  <c r="Z19" i="11" s="1"/>
  <c r="G16" i="56"/>
  <c r="B18" i="67"/>
  <c r="H18" i="67" s="1"/>
  <c r="V27" i="11" s="1"/>
  <c r="S32" i="11"/>
  <c r="G17" i="61"/>
  <c r="I16" i="61"/>
  <c r="W25" i="11" s="1"/>
  <c r="C16" i="61"/>
  <c r="B17" i="61"/>
  <c r="R22" i="11"/>
  <c r="E10" i="53"/>
  <c r="G9" i="53"/>
  <c r="Q18" i="11" s="1"/>
  <c r="F9" i="52"/>
  <c r="J9" i="52" s="1"/>
  <c r="P19" i="11" s="1"/>
  <c r="F12" i="56" l="1"/>
  <c r="I11" i="56"/>
  <c r="Z20" i="11" s="1"/>
  <c r="G17" i="56"/>
  <c r="B19" i="67"/>
  <c r="H19" i="67" s="1"/>
  <c r="V28" i="11" s="1"/>
  <c r="S33" i="11"/>
  <c r="G18" i="61"/>
  <c r="I17" i="61"/>
  <c r="W26" i="11" s="1"/>
  <c r="B18" i="61"/>
  <c r="C17" i="61"/>
  <c r="J10" i="55"/>
  <c r="T19" i="11" s="1"/>
  <c r="J11" i="55"/>
  <c r="T20" i="11" s="1"/>
  <c r="R23" i="11"/>
  <c r="E11" i="53"/>
  <c r="G10" i="53"/>
  <c r="Q19" i="11" s="1"/>
  <c r="F10" i="52"/>
  <c r="J10" i="52" s="1"/>
  <c r="P20" i="11" s="1"/>
  <c r="I44" i="11"/>
  <c r="L1" i="11"/>
  <c r="I12" i="56" l="1"/>
  <c r="Z21" i="11" s="1"/>
  <c r="F13" i="56"/>
  <c r="G18" i="56"/>
  <c r="B20" i="67"/>
  <c r="H20" i="67" s="1"/>
  <c r="V29" i="11" s="1"/>
  <c r="S34" i="11"/>
  <c r="G19" i="61"/>
  <c r="I18" i="61"/>
  <c r="W27" i="11" s="1"/>
  <c r="B19" i="61"/>
  <c r="C18" i="61"/>
  <c r="R24" i="11"/>
  <c r="G11" i="53"/>
  <c r="Q20" i="11" s="1"/>
  <c r="E12" i="53"/>
  <c r="F11" i="52"/>
  <c r="J11" i="52" s="1"/>
  <c r="P21" i="11" s="1"/>
  <c r="M44" i="11"/>
  <c r="E44" i="11"/>
  <c r="E51" i="11" s="1"/>
  <c r="L44" i="11"/>
  <c r="E50" i="11" s="1"/>
  <c r="I13" i="56" l="1"/>
  <c r="Z22" i="11" s="1"/>
  <c r="F14" i="56"/>
  <c r="G19" i="56"/>
  <c r="B21" i="67"/>
  <c r="H21" i="67" s="1"/>
  <c r="V30" i="11" s="1"/>
  <c r="S35" i="11"/>
  <c r="G20" i="61"/>
  <c r="I19" i="61"/>
  <c r="W28" i="11" s="1"/>
  <c r="C19" i="61"/>
  <c r="B20" i="61"/>
  <c r="J12" i="55"/>
  <c r="T21" i="11" s="1"/>
  <c r="J13" i="55"/>
  <c r="T22" i="11" s="1"/>
  <c r="R25" i="11"/>
  <c r="E13" i="53"/>
  <c r="G12" i="53"/>
  <c r="Q21" i="11" s="1"/>
  <c r="F12" i="52"/>
  <c r="J12" i="52" s="1"/>
  <c r="P22" i="11" s="1"/>
  <c r="D44" i="11"/>
  <c r="I14" i="56" l="1"/>
  <c r="Z23" i="11" s="1"/>
  <c r="F15" i="56"/>
  <c r="G20" i="56"/>
  <c r="B22" i="67"/>
  <c r="H22" i="67" s="1"/>
  <c r="V31" i="11" s="1"/>
  <c r="S36" i="11"/>
  <c r="G21" i="61"/>
  <c r="I20" i="61"/>
  <c r="W29" i="11" s="1"/>
  <c r="C20" i="61"/>
  <c r="B21" i="61"/>
  <c r="J14" i="55"/>
  <c r="T23" i="11" s="1"/>
  <c r="R26" i="11"/>
  <c r="E14" i="53"/>
  <c r="G13" i="53"/>
  <c r="Q22" i="11" s="1"/>
  <c r="F13" i="52"/>
  <c r="J13" i="52" s="1"/>
  <c r="P23" i="11" s="1"/>
  <c r="I15" i="56" l="1"/>
  <c r="Z24" i="11" s="1"/>
  <c r="F16" i="56"/>
  <c r="G21" i="56"/>
  <c r="E35" i="39"/>
  <c r="B23" i="67"/>
  <c r="H23" i="67" s="1"/>
  <c r="V32" i="11" s="1"/>
  <c r="S37" i="11"/>
  <c r="G22" i="61"/>
  <c r="I21" i="61"/>
  <c r="W30" i="11" s="1"/>
  <c r="B22" i="61"/>
  <c r="C21" i="61"/>
  <c r="J15" i="55"/>
  <c r="T24" i="11" s="1"/>
  <c r="R27" i="11"/>
  <c r="G14" i="53"/>
  <c r="Q23" i="11" s="1"/>
  <c r="E15" i="53"/>
  <c r="F14" i="52"/>
  <c r="J14" i="52" s="1"/>
  <c r="P24" i="11" s="1"/>
  <c r="G6" i="16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F6" i="16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E6" i="16"/>
  <c r="I16" i="56" l="1"/>
  <c r="Z25" i="11" s="1"/>
  <c r="F17" i="56"/>
  <c r="G22" i="56"/>
  <c r="J5" i="16"/>
  <c r="X14" i="11" s="1"/>
  <c r="B24" i="67"/>
  <c r="H24" i="67" s="1"/>
  <c r="V33" i="11" s="1"/>
  <c r="S38" i="11"/>
  <c r="G23" i="61"/>
  <c r="I22" i="61"/>
  <c r="W31" i="11" s="1"/>
  <c r="B23" i="61"/>
  <c r="C22" i="61"/>
  <c r="J16" i="55"/>
  <c r="T25" i="11" s="1"/>
  <c r="R28" i="11"/>
  <c r="E16" i="53"/>
  <c r="G15" i="53"/>
  <c r="Q24" i="11" s="1"/>
  <c r="F15" i="52"/>
  <c r="J15" i="52" s="1"/>
  <c r="P25" i="11" s="1"/>
  <c r="G35" i="16"/>
  <c r="I6" i="16"/>
  <c r="F35" i="16"/>
  <c r="H6" i="16"/>
  <c r="H7" i="16" s="1"/>
  <c r="H8" i="16" s="1"/>
  <c r="H9" i="16" s="1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2" i="16" s="1"/>
  <c r="H23" i="16" s="1"/>
  <c r="H24" i="16" s="1"/>
  <c r="H25" i="16" s="1"/>
  <c r="H26" i="16" s="1"/>
  <c r="H27" i="16" s="1"/>
  <c r="H28" i="16" s="1"/>
  <c r="H29" i="16" s="1"/>
  <c r="H30" i="16" s="1"/>
  <c r="H31" i="16" s="1"/>
  <c r="H32" i="16" s="1"/>
  <c r="H33" i="16" s="1"/>
  <c r="H34" i="16" s="1"/>
  <c r="I17" i="56" l="1"/>
  <c r="Z26" i="11" s="1"/>
  <c r="F18" i="56"/>
  <c r="G23" i="56"/>
  <c r="B25" i="67"/>
  <c r="H25" i="67" s="1"/>
  <c r="V34" i="11" s="1"/>
  <c r="S39" i="11"/>
  <c r="G24" i="61"/>
  <c r="I23" i="61"/>
  <c r="W32" i="11" s="1"/>
  <c r="C23" i="61"/>
  <c r="B24" i="61"/>
  <c r="J17" i="55"/>
  <c r="T26" i="11" s="1"/>
  <c r="R29" i="11"/>
  <c r="G16" i="53"/>
  <c r="Q25" i="11" s="1"/>
  <c r="E17" i="53"/>
  <c r="F16" i="52"/>
  <c r="J16" i="52" s="1"/>
  <c r="P26" i="11" s="1"/>
  <c r="H35" i="16"/>
  <c r="C13" i="11"/>
  <c r="I18" i="56" l="1"/>
  <c r="Z27" i="11" s="1"/>
  <c r="F19" i="56"/>
  <c r="G24" i="56"/>
  <c r="B26" i="67"/>
  <c r="H26" i="67" s="1"/>
  <c r="V35" i="11" s="1"/>
  <c r="S40" i="11"/>
  <c r="G25" i="61"/>
  <c r="I24" i="61"/>
  <c r="W33" i="11" s="1"/>
  <c r="B25" i="61"/>
  <c r="C24" i="61"/>
  <c r="J18" i="55"/>
  <c r="T27" i="11" s="1"/>
  <c r="R30" i="11"/>
  <c r="E18" i="53"/>
  <c r="G17" i="53"/>
  <c r="Q26" i="11" s="1"/>
  <c r="F17" i="52"/>
  <c r="J17" i="52" s="1"/>
  <c r="P27" i="11" s="1"/>
  <c r="I7" i="16"/>
  <c r="E7" i="16"/>
  <c r="D6" i="16"/>
  <c r="J6" i="16" l="1"/>
  <c r="X15" i="11" s="1"/>
  <c r="I19" i="56"/>
  <c r="Z28" i="11" s="1"/>
  <c r="F20" i="56"/>
  <c r="G25" i="56"/>
  <c r="B27" i="67"/>
  <c r="H27" i="67" s="1"/>
  <c r="V36" i="11" s="1"/>
  <c r="S41" i="11"/>
  <c r="G26" i="61"/>
  <c r="I25" i="61"/>
  <c r="W34" i="11" s="1"/>
  <c r="B26" i="61"/>
  <c r="C25" i="61"/>
  <c r="J19" i="55"/>
  <c r="T28" i="11" s="1"/>
  <c r="R31" i="11"/>
  <c r="E19" i="53"/>
  <c r="G18" i="53"/>
  <c r="Q27" i="11" s="1"/>
  <c r="F18" i="52"/>
  <c r="J18" i="52" s="1"/>
  <c r="P28" i="11" s="1"/>
  <c r="D7" i="16"/>
  <c r="J7" i="16" s="1"/>
  <c r="X16" i="11" s="1"/>
  <c r="I8" i="16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0" i="16" s="1"/>
  <c r="I31" i="16" s="1"/>
  <c r="I32" i="16" s="1"/>
  <c r="I33" i="16" s="1"/>
  <c r="I34" i="16" s="1"/>
  <c r="I35" i="16" s="1"/>
  <c r="E8" i="16"/>
  <c r="I20" i="56" l="1"/>
  <c r="Z29" i="11" s="1"/>
  <c r="F21" i="56"/>
  <c r="G26" i="56"/>
  <c r="B28" i="67"/>
  <c r="H28" i="67" s="1"/>
  <c r="V37" i="11" s="1"/>
  <c r="S43" i="11"/>
  <c r="S42" i="11"/>
  <c r="G27" i="61"/>
  <c r="I26" i="61"/>
  <c r="W35" i="11" s="1"/>
  <c r="B27" i="61"/>
  <c r="C26" i="61"/>
  <c r="J20" i="55"/>
  <c r="T29" i="11" s="1"/>
  <c r="R32" i="11"/>
  <c r="E20" i="53"/>
  <c r="G19" i="53"/>
  <c r="Q28" i="11" s="1"/>
  <c r="F19" i="52"/>
  <c r="J19" i="52" s="1"/>
  <c r="P29" i="11" s="1"/>
  <c r="E9" i="16"/>
  <c r="D8" i="16"/>
  <c r="J8" i="16" s="1"/>
  <c r="X17" i="11" s="1"/>
  <c r="I21" i="56" l="1"/>
  <c r="Z30" i="11" s="1"/>
  <c r="F22" i="56"/>
  <c r="G27" i="56"/>
  <c r="B29" i="67"/>
  <c r="H29" i="67" s="1"/>
  <c r="V38" i="11" s="1"/>
  <c r="G28" i="61"/>
  <c r="I27" i="61"/>
  <c r="W36" i="11" s="1"/>
  <c r="C27" i="61"/>
  <c r="B28" i="61"/>
  <c r="J21" i="55"/>
  <c r="T30" i="11" s="1"/>
  <c r="R33" i="11"/>
  <c r="E21" i="53"/>
  <c r="G20" i="53"/>
  <c r="Q29" i="11" s="1"/>
  <c r="F20" i="52"/>
  <c r="J20" i="52" s="1"/>
  <c r="P30" i="11" s="1"/>
  <c r="E10" i="16"/>
  <c r="D9" i="16"/>
  <c r="J9" i="16" s="1"/>
  <c r="X18" i="11" s="1"/>
  <c r="I22" i="56" l="1"/>
  <c r="Z31" i="11" s="1"/>
  <c r="F23" i="56"/>
  <c r="G28" i="56"/>
  <c r="B30" i="67"/>
  <c r="H30" i="67" s="1"/>
  <c r="V39" i="11" s="1"/>
  <c r="G29" i="61"/>
  <c r="I28" i="61"/>
  <c r="W37" i="11" s="1"/>
  <c r="B29" i="61"/>
  <c r="C28" i="61"/>
  <c r="J22" i="55"/>
  <c r="T31" i="11" s="1"/>
  <c r="R34" i="11"/>
  <c r="E22" i="53"/>
  <c r="G21" i="53"/>
  <c r="Q30" i="11" s="1"/>
  <c r="F21" i="52"/>
  <c r="J21" i="52" s="1"/>
  <c r="P31" i="11" s="1"/>
  <c r="E11" i="16"/>
  <c r="D10" i="16"/>
  <c r="J10" i="16" s="1"/>
  <c r="X19" i="11" s="1"/>
  <c r="I23" i="56" l="1"/>
  <c r="Z32" i="11" s="1"/>
  <c r="F24" i="56"/>
  <c r="G29" i="56"/>
  <c r="B31" i="67"/>
  <c r="H31" i="67" s="1"/>
  <c r="V40" i="11" s="1"/>
  <c r="G30" i="61"/>
  <c r="I29" i="61"/>
  <c r="W38" i="11" s="1"/>
  <c r="B30" i="61"/>
  <c r="C29" i="61"/>
  <c r="J23" i="55"/>
  <c r="T32" i="11" s="1"/>
  <c r="R35" i="11"/>
  <c r="G22" i="53"/>
  <c r="Q31" i="11" s="1"/>
  <c r="E23" i="53"/>
  <c r="F22" i="52"/>
  <c r="J22" i="52" s="1"/>
  <c r="P32" i="11" s="1"/>
  <c r="E12" i="16"/>
  <c r="D11" i="16"/>
  <c r="J11" i="16" s="1"/>
  <c r="X20" i="11" s="1"/>
  <c r="H44" i="11"/>
  <c r="I24" i="56" l="1"/>
  <c r="Z33" i="11" s="1"/>
  <c r="F25" i="56"/>
  <c r="G30" i="56"/>
  <c r="B32" i="67"/>
  <c r="H32" i="67" s="1"/>
  <c r="V41" i="11" s="1"/>
  <c r="G31" i="61"/>
  <c r="I30" i="61"/>
  <c r="W39" i="11" s="1"/>
  <c r="B31" i="61"/>
  <c r="C30" i="61"/>
  <c r="J24" i="55"/>
  <c r="T33" i="11" s="1"/>
  <c r="R36" i="11"/>
  <c r="E24" i="53"/>
  <c r="G23" i="53"/>
  <c r="Q32" i="11" s="1"/>
  <c r="F23" i="52"/>
  <c r="J23" i="52" s="1"/>
  <c r="P33" i="11" s="1"/>
  <c r="E13" i="16"/>
  <c r="D12" i="16"/>
  <c r="J12" i="16" s="1"/>
  <c r="X21" i="11" s="1"/>
  <c r="I25" i="56" l="1"/>
  <c r="Z34" i="11" s="1"/>
  <c r="F26" i="56"/>
  <c r="G31" i="56"/>
  <c r="B33" i="67"/>
  <c r="H33" i="67" s="1"/>
  <c r="V42" i="11" s="1"/>
  <c r="G32" i="61"/>
  <c r="I31" i="61"/>
  <c r="W40" i="11" s="1"/>
  <c r="B32" i="61"/>
  <c r="C31" i="61"/>
  <c r="J25" i="55"/>
  <c r="T34" i="11" s="1"/>
  <c r="R37" i="11"/>
  <c r="G24" i="53"/>
  <c r="Q33" i="11" s="1"/>
  <c r="E25" i="53"/>
  <c r="F24" i="52"/>
  <c r="J24" i="52" s="1"/>
  <c r="P34" i="11" s="1"/>
  <c r="E14" i="16"/>
  <c r="D13" i="16"/>
  <c r="J13" i="16" s="1"/>
  <c r="X22" i="11" s="1"/>
  <c r="I26" i="56" l="1"/>
  <c r="Z35" i="11" s="1"/>
  <c r="F27" i="56"/>
  <c r="G32" i="56"/>
  <c r="B34" i="67"/>
  <c r="H34" i="67" s="1"/>
  <c r="V43" i="11" s="1"/>
  <c r="G33" i="61"/>
  <c r="I32" i="61"/>
  <c r="W41" i="11" s="1"/>
  <c r="C32" i="61"/>
  <c r="B33" i="61"/>
  <c r="J26" i="55"/>
  <c r="T35" i="11" s="1"/>
  <c r="R38" i="11"/>
  <c r="E26" i="53"/>
  <c r="G25" i="53"/>
  <c r="Q34" i="11" s="1"/>
  <c r="F25" i="52"/>
  <c r="J25" i="52" s="1"/>
  <c r="P35" i="11" s="1"/>
  <c r="E15" i="16"/>
  <c r="D14" i="16"/>
  <c r="J14" i="16" s="1"/>
  <c r="X23" i="11" s="1"/>
  <c r="I27" i="56" l="1"/>
  <c r="Z36" i="11" s="1"/>
  <c r="F28" i="56"/>
  <c r="G33" i="56"/>
  <c r="H35" i="67"/>
  <c r="G34" i="61"/>
  <c r="I34" i="61" s="1"/>
  <c r="W43" i="11" s="1"/>
  <c r="I33" i="61"/>
  <c r="W42" i="11" s="1"/>
  <c r="C33" i="61"/>
  <c r="B35" i="61"/>
  <c r="J27" i="55"/>
  <c r="T36" i="11" s="1"/>
  <c r="R39" i="11"/>
  <c r="E27" i="53"/>
  <c r="G26" i="53"/>
  <c r="Q35" i="11" s="1"/>
  <c r="F26" i="52"/>
  <c r="J26" i="52" s="1"/>
  <c r="P36" i="11" s="1"/>
  <c r="E16" i="16"/>
  <c r="D15" i="16"/>
  <c r="J15" i="16" s="1"/>
  <c r="X24" i="11" s="1"/>
  <c r="W44" i="11" l="1"/>
  <c r="I28" i="56"/>
  <c r="Z37" i="11" s="1"/>
  <c r="F29" i="56"/>
  <c r="G34" i="56"/>
  <c r="V44" i="11"/>
  <c r="I35" i="61"/>
  <c r="J28" i="55"/>
  <c r="T37" i="11" s="1"/>
  <c r="R40" i="11"/>
  <c r="E28" i="53"/>
  <c r="G27" i="53"/>
  <c r="Q36" i="11" s="1"/>
  <c r="F27" i="52"/>
  <c r="J27" i="52" s="1"/>
  <c r="P37" i="11" s="1"/>
  <c r="E17" i="16"/>
  <c r="D16" i="16"/>
  <c r="J16" i="16" s="1"/>
  <c r="X25" i="11" s="1"/>
  <c r="I29" i="56" l="1"/>
  <c r="Z38" i="11" s="1"/>
  <c r="F30" i="56"/>
  <c r="J29" i="55"/>
  <c r="T38" i="11" s="1"/>
  <c r="R41" i="11"/>
  <c r="E29" i="53"/>
  <c r="G28" i="53"/>
  <c r="Q37" i="11" s="1"/>
  <c r="F28" i="52"/>
  <c r="J28" i="52" s="1"/>
  <c r="P38" i="11" s="1"/>
  <c r="E18" i="16"/>
  <c r="D17" i="16"/>
  <c r="J17" i="16" s="1"/>
  <c r="X26" i="11" s="1"/>
  <c r="I30" i="56" l="1"/>
  <c r="Z39" i="11" s="1"/>
  <c r="F31" i="56"/>
  <c r="J30" i="55"/>
  <c r="T39" i="11" s="1"/>
  <c r="R43" i="11"/>
  <c r="R42" i="11"/>
  <c r="E30" i="53"/>
  <c r="G29" i="53"/>
  <c r="Q38" i="11" s="1"/>
  <c r="F29" i="52"/>
  <c r="J29" i="52" s="1"/>
  <c r="P39" i="11" s="1"/>
  <c r="E19" i="16"/>
  <c r="D18" i="16"/>
  <c r="J18" i="16" s="1"/>
  <c r="X27" i="11" s="1"/>
  <c r="I31" i="56" l="1"/>
  <c r="F32" i="56"/>
  <c r="R44" i="11"/>
  <c r="H35" i="54"/>
  <c r="J31" i="55"/>
  <c r="T40" i="11" s="1"/>
  <c r="G30" i="53"/>
  <c r="Q39" i="11" s="1"/>
  <c r="E31" i="53"/>
  <c r="F30" i="52"/>
  <c r="J30" i="52" s="1"/>
  <c r="P40" i="11" s="1"/>
  <c r="E20" i="16"/>
  <c r="D19" i="16"/>
  <c r="J19" i="16" s="1"/>
  <c r="X28" i="11" s="1"/>
  <c r="I32" i="56" l="1"/>
  <c r="Z41" i="11" s="1"/>
  <c r="F33" i="56"/>
  <c r="Z40" i="11"/>
  <c r="J32" i="55"/>
  <c r="T41" i="11" s="1"/>
  <c r="E32" i="53"/>
  <c r="G31" i="53"/>
  <c r="Q40" i="11" s="1"/>
  <c r="F31" i="52"/>
  <c r="J31" i="52" s="1"/>
  <c r="P41" i="11" s="1"/>
  <c r="E21" i="16"/>
  <c r="D20" i="16"/>
  <c r="J20" i="16" s="1"/>
  <c r="X29" i="11" s="1"/>
  <c r="I33" i="56" l="1"/>
  <c r="F34" i="56"/>
  <c r="J33" i="55"/>
  <c r="T42" i="11" s="1"/>
  <c r="G32" i="53"/>
  <c r="Q41" i="11" s="1"/>
  <c r="E33" i="53"/>
  <c r="F32" i="52"/>
  <c r="J32" i="52" s="1"/>
  <c r="P42" i="11" s="1"/>
  <c r="E22" i="16"/>
  <c r="D21" i="16"/>
  <c r="J21" i="16" s="1"/>
  <c r="X30" i="11" s="1"/>
  <c r="Z43" i="11" l="1"/>
  <c r="I34" i="56"/>
  <c r="Z42" i="11"/>
  <c r="I35" i="56"/>
  <c r="J34" i="55"/>
  <c r="T43" i="11" s="1"/>
  <c r="T44" i="11" s="1"/>
  <c r="H35" i="55"/>
  <c r="E34" i="53"/>
  <c r="G34" i="53" s="1"/>
  <c r="Q43" i="11" s="1"/>
  <c r="G33" i="53"/>
  <c r="Q42" i="11" s="1"/>
  <c r="F33" i="52"/>
  <c r="J33" i="52" s="1"/>
  <c r="P43" i="11" s="1"/>
  <c r="E23" i="16"/>
  <c r="D22" i="16"/>
  <c r="J22" i="16" s="1"/>
  <c r="X31" i="11" s="1"/>
  <c r="Z44" i="11" l="1"/>
  <c r="J35" i="55"/>
  <c r="E24" i="16"/>
  <c r="D23" i="16"/>
  <c r="J23" i="16" s="1"/>
  <c r="X32" i="11" s="1"/>
  <c r="F44" i="11"/>
  <c r="G44" i="11"/>
  <c r="C14" i="11"/>
  <c r="C6" i="16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E25" i="16" l="1"/>
  <c r="D24" i="16"/>
  <c r="J24" i="16" s="1"/>
  <c r="X33" i="11" s="1"/>
  <c r="C15" i="1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E26" i="16" l="1"/>
  <c r="D25" i="16"/>
  <c r="J25" i="16" s="1"/>
  <c r="X34" i="11" s="1"/>
  <c r="E27" i="16" l="1"/>
  <c r="D26" i="16"/>
  <c r="J26" i="16" s="1"/>
  <c r="X35" i="11" s="1"/>
  <c r="E28" i="16" l="1"/>
  <c r="D27" i="16"/>
  <c r="J27" i="16" s="1"/>
  <c r="X36" i="11" s="1"/>
  <c r="E29" i="16" l="1"/>
  <c r="D28" i="16"/>
  <c r="J28" i="16" s="1"/>
  <c r="X37" i="11" s="1"/>
  <c r="E30" i="16" l="1"/>
  <c r="D29" i="16"/>
  <c r="J29" i="16" s="1"/>
  <c r="X38" i="11" s="1"/>
  <c r="E31" i="16" l="1"/>
  <c r="D30" i="16"/>
  <c r="J30" i="16" s="1"/>
  <c r="X39" i="11" s="1"/>
  <c r="E32" i="16" l="1"/>
  <c r="D31" i="16"/>
  <c r="J31" i="16" s="1"/>
  <c r="X40" i="11" s="1"/>
  <c r="E33" i="16" l="1"/>
  <c r="D32" i="16"/>
  <c r="J32" i="16" s="1"/>
  <c r="X41" i="11" s="1"/>
  <c r="E34" i="16" l="1"/>
  <c r="D33" i="16"/>
  <c r="J33" i="16" s="1"/>
  <c r="X42" i="11" s="1"/>
  <c r="E35" i="16" l="1"/>
  <c r="D34" i="16"/>
  <c r="J34" i="16" l="1"/>
  <c r="X43" i="11" s="1"/>
  <c r="X44" i="11" s="1"/>
  <c r="D35" i="16"/>
  <c r="J35" i="16"/>
  <c r="G46" i="11" l="1"/>
  <c r="O32" i="11" l="1"/>
  <c r="N32" i="11" s="1"/>
  <c r="O19" i="11"/>
  <c r="N19" i="11" s="1"/>
  <c r="O33" i="11"/>
  <c r="N33" i="11" s="1"/>
  <c r="O23" i="11"/>
  <c r="N23" i="11" s="1"/>
  <c r="O27" i="11"/>
  <c r="N27" i="11" s="1"/>
  <c r="O31" i="11"/>
  <c r="N31" i="11" s="1"/>
  <c r="O20" i="11"/>
  <c r="N20" i="11" s="1"/>
  <c r="O40" i="11"/>
  <c r="N40" i="11" s="1"/>
  <c r="O35" i="11"/>
  <c r="N35" i="11" s="1"/>
  <c r="O25" i="11"/>
  <c r="N25" i="11" s="1"/>
  <c r="O18" i="11"/>
  <c r="N18" i="11" s="1"/>
  <c r="O41" i="11"/>
  <c r="N41" i="11" s="1"/>
  <c r="O21" i="11"/>
  <c r="N21" i="11" s="1"/>
  <c r="O34" i="11"/>
  <c r="N34" i="11" s="1"/>
  <c r="O26" i="11"/>
  <c r="N26" i="11" s="1"/>
  <c r="O22" i="11"/>
  <c r="N22" i="11" s="1"/>
  <c r="O17" i="11"/>
  <c r="N17" i="11" s="1"/>
  <c r="O16" i="11"/>
  <c r="N16" i="11" s="1"/>
  <c r="O30" i="11"/>
  <c r="N30" i="11" s="1"/>
  <c r="O24" i="11"/>
  <c r="N24" i="11" s="1"/>
  <c r="O37" i="11"/>
  <c r="N37" i="11" s="1"/>
  <c r="O36" i="11"/>
  <c r="N36" i="11" s="1"/>
  <c r="O39" i="11"/>
  <c r="N39" i="11" s="1"/>
  <c r="O28" i="11"/>
  <c r="N28" i="11" s="1"/>
  <c r="O29" i="11"/>
  <c r="N29" i="11" s="1"/>
  <c r="O38" i="11"/>
  <c r="N38" i="11" s="1"/>
  <c r="O42" i="11"/>
  <c r="N42" i="11" s="1"/>
  <c r="O43" i="11"/>
  <c r="N43" i="11" s="1"/>
  <c r="O15" i="11"/>
  <c r="N15" i="11" s="1"/>
  <c r="H35" i="63" l="1"/>
  <c r="S14" i="11" l="1"/>
  <c r="S44" i="11" l="1"/>
  <c r="J4" i="52" l="1"/>
  <c r="P14" i="11" s="1"/>
  <c r="P44" i="11" l="1"/>
  <c r="J34" i="52"/>
  <c r="C35" i="53" l="1"/>
  <c r="G5" i="53"/>
  <c r="G35" i="53" s="1"/>
  <c r="Q14" i="11" l="1"/>
  <c r="Q44" i="11" s="1"/>
  <c r="O14" i="11" l="1"/>
  <c r="O44" i="11" s="1"/>
  <c r="N14" i="11" l="1"/>
  <c r="N44" i="11" s="1"/>
  <c r="N47" i="11" s="1"/>
  <c r="N46" i="11"/>
  <c r="G45" i="11"/>
</calcChain>
</file>

<file path=xl/sharedStrings.xml><?xml version="1.0" encoding="utf-8"?>
<sst xmlns="http://schemas.openxmlformats.org/spreadsheetml/2006/main" count="290" uniqueCount="201">
  <si>
    <t>Year</t>
  </si>
  <si>
    <t>Property Damage</t>
  </si>
  <si>
    <t>Total</t>
  </si>
  <si>
    <t>Build Costs</t>
  </si>
  <si>
    <t>O&amp;M Costs</t>
  </si>
  <si>
    <t>Design</t>
  </si>
  <si>
    <t>Economic Competitiveness</t>
  </si>
  <si>
    <t>Environmental Sustainability</t>
  </si>
  <si>
    <t>Safety</t>
  </si>
  <si>
    <t>Travel Time Delay Savings ($/year)¹</t>
  </si>
  <si>
    <t>Fuel Savings ($/Year)</t>
  </si>
  <si>
    <t>Pollutant Cost NOx ($/year)</t>
  </si>
  <si>
    <t>0% NPV Total Benefit</t>
  </si>
  <si>
    <t>Key Assumptions and Sources</t>
  </si>
  <si>
    <t>Parameter Name</t>
  </si>
  <si>
    <t>Project Life</t>
  </si>
  <si>
    <t>Discount Rate</t>
  </si>
  <si>
    <t>Time Savings - Business, Local</t>
  </si>
  <si>
    <t>Time Savings - Personal, Local</t>
  </si>
  <si>
    <t>Value of a Stat Life (VSL)</t>
  </si>
  <si>
    <t>Property Damage Only (PDO)</t>
  </si>
  <si>
    <t>Value of Emission - VOC's</t>
  </si>
  <si>
    <t>Value of Emission - NOx</t>
  </si>
  <si>
    <t>Value of Emission - SOx</t>
  </si>
  <si>
    <t>Emission Factors - THC</t>
  </si>
  <si>
    <t>Emission Factors - VOC</t>
  </si>
  <si>
    <t>Emmission Factors - NOx</t>
  </si>
  <si>
    <t>Emmission Factors - CO2</t>
  </si>
  <si>
    <t>Gasoline Consumption - Passenger cars</t>
  </si>
  <si>
    <t>Vehicle Occupancy</t>
  </si>
  <si>
    <t>ADT Annual Growth Rate</t>
  </si>
  <si>
    <t>O&amp;M Inflation Escalator</t>
  </si>
  <si>
    <t>VMT = Vehicle Miles Travelled</t>
  </si>
  <si>
    <t>Value</t>
  </si>
  <si>
    <t>Unit</t>
  </si>
  <si>
    <t>Years</t>
  </si>
  <si>
    <t>Per annum</t>
  </si>
  <si>
    <t>$/hour</t>
  </si>
  <si>
    <t>$/life</t>
  </si>
  <si>
    <t>$/injured</t>
  </si>
  <si>
    <t>$/vehicle</t>
  </si>
  <si>
    <t>2013$/ short ton</t>
  </si>
  <si>
    <t>lb/mi/yr</t>
  </si>
  <si>
    <t>gallons/mi</t>
  </si>
  <si>
    <t>$/gallon</t>
  </si>
  <si>
    <t>Persons</t>
  </si>
  <si>
    <t>% p.a.</t>
  </si>
  <si>
    <t>Expected Useful Life</t>
  </si>
  <si>
    <r>
      <rPr>
        <sz val="11"/>
        <rFont val="Calibri"/>
        <family val="2"/>
        <scheme val="minor"/>
      </rPr>
      <t>EPA consumer statistics,</t>
    </r>
    <r>
      <rPr>
        <u/>
        <sz val="11"/>
        <color theme="10"/>
        <rFont val="Calibri"/>
        <family val="2"/>
        <scheme val="minor"/>
      </rPr>
      <t xml:space="preserve"> https://www3.epa.gov/otaq/consumer/420f08024.pdf</t>
    </r>
  </si>
  <si>
    <t>http://www.bls.gov/data/inflation_calculator.htm</t>
  </si>
  <si>
    <t>ADT = Average Daily Traffic</t>
  </si>
  <si>
    <t>Summary Statistics</t>
  </si>
  <si>
    <t>Fatal Injuries</t>
  </si>
  <si>
    <t>Class A Injuries</t>
  </si>
  <si>
    <t>Class B Injuries</t>
  </si>
  <si>
    <t>Class C Injuries</t>
  </si>
  <si>
    <t>Total Non-Fatal Injuries</t>
  </si>
  <si>
    <t>Total Injuries</t>
  </si>
  <si>
    <t>% of Total</t>
  </si>
  <si>
    <t xml:space="preserve">Number of Crashes      </t>
  </si>
  <si>
    <t xml:space="preserve">                                  Crash Type                                   </t>
  </si>
  <si>
    <t xml:space="preserve">                                  Injury Type                                   </t>
  </si>
  <si>
    <r>
      <t xml:space="preserve">                      </t>
    </r>
    <r>
      <rPr>
        <b/>
        <u/>
        <sz val="14"/>
        <color theme="1"/>
        <rFont val="Arial"/>
        <family val="2"/>
      </rPr>
      <t>Injury Summary</t>
    </r>
  </si>
  <si>
    <t>Avg. Crashes/Year</t>
  </si>
  <si>
    <t>KABCO Monetized Value</t>
  </si>
  <si>
    <t>CMF *</t>
  </si>
  <si>
    <t>Class O Injuries</t>
  </si>
  <si>
    <t>ROW Acquisition</t>
  </si>
  <si>
    <t>0% BCA</t>
  </si>
  <si>
    <t>7% BCA</t>
  </si>
  <si>
    <t>CRASH MODIFICATION FACTOR</t>
  </si>
  <si>
    <t>ESTIMATED ANNUAL INJURIES PREVENTED</t>
  </si>
  <si>
    <t>Final Build Benefit 0% NPV</t>
  </si>
  <si>
    <t>Environmental</t>
  </si>
  <si>
    <t>Utilities</t>
  </si>
  <si>
    <t xml:space="preserve">Number of Injuries     </t>
  </si>
  <si>
    <t>KABCO A</t>
  </si>
  <si>
    <t>KABCO B</t>
  </si>
  <si>
    <t>KABCO C</t>
  </si>
  <si>
    <t>KABCO O</t>
  </si>
  <si>
    <t>Time Savings - All Purposes</t>
  </si>
  <si>
    <t>Expand Sidewalk (per foot of added Width)</t>
  </si>
  <si>
    <t>Per Person-Mile Walked</t>
  </si>
  <si>
    <t>Install Signal for Pedestrian Crossing on Roadway with Volumes ≥13,000 Vehicles per Day</t>
  </si>
  <si>
    <t>Cycling Path with At-Grade Crossings</t>
  </si>
  <si>
    <t>Dedicated Cycling Lane</t>
  </si>
  <si>
    <t xml:space="preserve">Cycling Boulevard/“Sharrow”
</t>
  </si>
  <si>
    <t>Walking Ages 20-74</t>
  </si>
  <si>
    <t>Cycling Ages 20-64</t>
  </si>
  <si>
    <t>2020-2022</t>
  </si>
  <si>
    <t>CPI Inflation Calculator  from 2020-2022</t>
  </si>
  <si>
    <t>Vechicle Operating Costs Light Duty Vehicles</t>
  </si>
  <si>
    <t>Vechicle Operating Costs Commercial Trucks</t>
  </si>
  <si>
    <t>Reference</t>
  </si>
  <si>
    <t>BCR 0%</t>
  </si>
  <si>
    <t>Value ($/yr)</t>
  </si>
  <si>
    <t xml:space="preserve">Right of Way </t>
  </si>
  <si>
    <t xml:space="preserve">Acquisition </t>
  </si>
  <si>
    <t>Annual Average Class A Injuries Prevented 1.38% Compound Interest (Full Project)</t>
  </si>
  <si>
    <t>Annual Average Class B Injuries Prevented 1.38% Compound Interest (Full Project )</t>
  </si>
  <si>
    <t>Annual Average Class C Injuries Prevented 1.38% Compound Interest (Full Project )</t>
  </si>
  <si>
    <t>Annual Average Class 0 Injuries Prevented 1.38% Compound Interest (Full Project )</t>
  </si>
  <si>
    <t>Annual Property Damages Prevented 1.38% Compound Interest (Full Project )</t>
  </si>
  <si>
    <t>N/A</t>
  </si>
  <si>
    <t>Travel Time Savings</t>
  </si>
  <si>
    <t>Travel Time Reduction (Hours) **</t>
  </si>
  <si>
    <t>Daily Time (2.5 hours = AM/PM Peaks)</t>
  </si>
  <si>
    <t>Interest 2%</t>
  </si>
  <si>
    <t>* AADT Tab</t>
  </si>
  <si>
    <t>NOx Savings Reduction (Grams)*</t>
  </si>
  <si>
    <t>Vehicle Operation Costs</t>
  </si>
  <si>
    <t>Percent Reduced Use in Vehicle  Operation *</t>
  </si>
  <si>
    <t>Travel Time Reduction (Hour/Day)</t>
  </si>
  <si>
    <t>Operating Benefits</t>
  </si>
  <si>
    <t>Vehicle Operating Benefits</t>
  </si>
  <si>
    <t>Crash Benefits ($/yr)²</t>
  </si>
  <si>
    <t>no build</t>
  </si>
  <si>
    <t>Build Net</t>
  </si>
  <si>
    <t>*** Length of road improvement along John Nolen Drive from Olin Avenue to Broom Street</t>
  </si>
  <si>
    <t>Health Benefits</t>
  </si>
  <si>
    <t>Health Benefits Cycling</t>
  </si>
  <si>
    <t>Cycling Journey</t>
  </si>
  <si>
    <t>Biking</t>
  </si>
  <si>
    <t>Cycling Benefits</t>
  </si>
  <si>
    <t>Residual Value</t>
  </si>
  <si>
    <t xml:space="preserve">PM 2.5 Savings </t>
  </si>
  <si>
    <t>PM 2.5 Savings Reduction (Grams)*</t>
  </si>
  <si>
    <t>PM 2.5 Savings Reduction (Short Tons)</t>
  </si>
  <si>
    <t>Pollutant Cost PM 2.5 ($/year)</t>
  </si>
  <si>
    <t>Fuel Cost Savings</t>
  </si>
  <si>
    <r>
      <t>Per NOFA,</t>
    </r>
    <r>
      <rPr>
        <u/>
        <sz val="11"/>
        <color rgb="FF0070C0"/>
        <rFont val="Calibri"/>
        <family val="2"/>
        <scheme val="minor"/>
      </rPr>
      <t xml:space="preserve"> https://www.transportation.gov/sites/dot.gov/files/2025-05/Benefit%20Cost%20Analysis%20Guidance%202025%20Update%20II%20%28Final%29.pdf</t>
    </r>
  </si>
  <si>
    <t xml:space="preserve">Tuscaloosa, AL Stillman Bridge) area </t>
  </si>
  <si>
    <t>Crash Data - 2025</t>
  </si>
  <si>
    <t>Fatality Rate - 2025</t>
  </si>
  <si>
    <t>Injury Rate - 2025</t>
  </si>
  <si>
    <t>2022 National Household Survey</t>
  </si>
  <si>
    <t>Value of Emission - PM 2.5</t>
  </si>
  <si>
    <t>Recommended Value per Cycling Mile (2025 $)</t>
  </si>
  <si>
    <t>Cycling Path with no At-Grade Crossings</t>
  </si>
  <si>
    <t>City of Tuscaloosa, Alabama
Traffic Engineering Accident Analysis      
System Intersection Analysis Report	
Stillman Boulevard Bridge Improvement Area</t>
  </si>
  <si>
    <t>Annual Average Fatalities Prevented Full Project 1.38% Compound Interest</t>
  </si>
  <si>
    <t>BCR 3%</t>
  </si>
  <si>
    <t>2016 to 2024</t>
  </si>
  <si>
    <t>Stillman Bridge Injuries and Property Damage</t>
  </si>
  <si>
    <t>*Crash Modification Factor (CMF) from USDOT Operational and Safety Trade-offs: CMF ID: 9242 Increase lane width by 1 ft  Description: Increase lane width by 1 ft
Prior Condition:  No Prior Condition(s)
Category: Roadway
Study: Statewide Analysis of Bicycle Crashes, Alluri et al., 2017</t>
  </si>
  <si>
    <t xml:space="preserve">Average Projected Cyclists Per Day*1.6% annual increase </t>
  </si>
  <si>
    <t>Final Build Benefit 0% NPV D*F*H</t>
  </si>
  <si>
    <t>** 416 trucks/day x 365 days/year</t>
  </si>
  <si>
    <t>*Tredis 2024 (Fuel Per Mile Tractor Trailers) .1678 gallons of gasoline consumed per mile</t>
  </si>
  <si>
    <t>416 trucks diverted/day x 365 days x 1.5 mile truck route diversion =38,218 .1 gallons/year saved</t>
  </si>
  <si>
    <t xml:space="preserve"> NOx = $19,000/short ton (2025 DOT  BCA Guidance) </t>
  </si>
  <si>
    <t xml:space="preserve"> PM 2.5 = $928,000/short ton (2025 DOT  BCA Guidance) </t>
  </si>
  <si>
    <t>PM 2.5 Savings Value/Ton (BCA Guidance 2025)</t>
  </si>
  <si>
    <t xml:space="preserve">Travel Time Savings </t>
  </si>
  <si>
    <t xml:space="preserve">NOx Cost Savings </t>
  </si>
  <si>
    <t>Vehicle Operating Cost Savings</t>
  </si>
  <si>
    <t>Gas Diesel Price - All Grades</t>
  </si>
  <si>
    <t>US Energy Information Agency Gas Prices as of 7/7/2025, National Average, Regular Gasoline (Gulf Coast)   https://www.eia.gov/petroleum/gasdiesel/</t>
  </si>
  <si>
    <r>
      <t>Pollutant Cost SO</t>
    </r>
    <r>
      <rPr>
        <b/>
        <vertAlign val="subscript"/>
        <sz val="11"/>
        <color theme="0"/>
        <rFont val="Calibri"/>
        <family val="2"/>
      </rPr>
      <t>2</t>
    </r>
    <r>
      <rPr>
        <b/>
        <sz val="11"/>
        <color theme="0"/>
        <rFont val="Calibri"/>
        <family val="2"/>
      </rPr>
      <t xml:space="preserve"> ($/year)</t>
    </r>
  </si>
  <si>
    <t>*  (Gallons of Gasoline Fuel Saved from Road Improvements (38,218.1 gallons/year)(See Fuel Savings) x 100 grams NOx emission in a gallon of gasoline. Source: https://www.engineeringtoolbox.com/nox-emission-combustion-fuels-d_1086.html</t>
  </si>
  <si>
    <t>* (Gallons of  Fuel Saved from Bridge Improvement /.1678 gallons tractor truck  fuel consumed/mile) * .0094 grams PM 2.5 emission/mile Source:  Tredis 2021</t>
  </si>
  <si>
    <r>
      <t>* Diesel Fuel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for Heavy Duty Trucks (grams/mile) .447 g/mile x truck diversion miles/year (38,218) Source: Greenhouse Gas Emissions from a Typical Passenger Vehicle Offce of Transportation and Air Quality EPA-420-F-18-008 March 2018</t>
    </r>
  </si>
  <si>
    <t>Final Build Benefit 0% NPV (D*F*G)</t>
  </si>
  <si>
    <t>Length of Road Segment Savings (miles)</t>
  </si>
  <si>
    <t>Build Benefit (D*F)</t>
  </si>
  <si>
    <t>Build Benefit 0% NPV (C*E)</t>
  </si>
  <si>
    <t>Build Benefit 0 % NPV (D*F)</t>
  </si>
  <si>
    <t>Final Build Benefit 0% NPV (E*G)</t>
  </si>
  <si>
    <t>Final Build Benefit 0% NPV (B*D*E)</t>
  </si>
  <si>
    <t>2016-2024</t>
  </si>
  <si>
    <r>
      <t>SO</t>
    </r>
    <r>
      <rPr>
        <b/>
        <vertAlign val="sub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Cost Savings</t>
    </r>
  </si>
  <si>
    <r>
      <t>SO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Savings Reduction (Grams) *</t>
    </r>
  </si>
  <si>
    <t>Project Costs</t>
  </si>
  <si>
    <t>Construction Cost (Includes 10% Contingency)</t>
  </si>
  <si>
    <t>Truck Benefit  2% Compound Interest*</t>
  </si>
  <si>
    <t>*Commercial Vehicle Operating Cost/Mile  2025 US DOT BCA Guidance</t>
  </si>
  <si>
    <t>Annual Truck Vehicle Usage Full Bridge Replacement (416 trucks/day) -  2029</t>
  </si>
  <si>
    <t>Fuel Gas Savings over 30 years</t>
  </si>
  <si>
    <t>NOx Savings Reduction (Short Tons) (D)</t>
  </si>
  <si>
    <t>NOx Savings Value/Ton (F)</t>
  </si>
  <si>
    <t>Fuel Savings Reduction (Gallons) * ©</t>
  </si>
  <si>
    <t>Cost - Gallon of Diesel 1.38% annual increase €</t>
  </si>
  <si>
    <r>
      <t>SO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Savings Reduction (Short Tons) (D)</t>
    </r>
  </si>
  <si>
    <r>
      <t>SO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Savings Value/Ton (F)</t>
    </r>
  </si>
  <si>
    <t>Travel Time Reduction  (10 minutes for 1.5 mile truck detour) (D)</t>
  </si>
  <si>
    <t>Average Annual Daily Trips* 1.6% annual increase (416 trucks detours/day  x 365 days) (H)</t>
  </si>
  <si>
    <t>Distance (.33 miles) (D)</t>
  </si>
  <si>
    <t>Average Existing Cyclists Per Day * 1.6% annual increase (650 current number) (E)</t>
  </si>
  <si>
    <t>Average Annual Daily Trips* 1.6% annual increase (G)</t>
  </si>
  <si>
    <t>Tuscaloosa, AL Benefit-Cost Analysis Summary:  2025 Build Baseline and 7% NPV</t>
  </si>
  <si>
    <t>O&amp;M Costs + 1.38% Escalator 7% NPV</t>
  </si>
  <si>
    <t>Acquisition 7% NPV</t>
  </si>
  <si>
    <t>Costs 7% NPV</t>
  </si>
  <si>
    <t>7% NPV Total Benefit</t>
  </si>
  <si>
    <t>Total Costs 7% NPV</t>
  </si>
  <si>
    <r>
      <t xml:space="preserve">2025 US DOT BCA Resource Guide, </t>
    </r>
    <r>
      <rPr>
        <u/>
        <sz val="11"/>
        <color rgb="FF0070C0"/>
        <rFont val="Calibri"/>
        <family val="2"/>
        <scheme val="minor"/>
      </rPr>
      <t>https://www.transportation.gov/sites/dot.gov/files/2025-12/Benefit%20Cost%20Analysis%20Guidance%202026%20Update%20%28Final%29.pdf</t>
    </r>
  </si>
  <si>
    <t>2025 US DOT BCA Resource Guide, https://www.transportation.gov/sites/dot.gov/files/2025-12/Benefit%20Cost%20Analysis%20Guidance%202026%20Update%20%28Final%29.pdf</t>
  </si>
  <si>
    <t>2026$/ short ton</t>
  </si>
  <si>
    <t>* Health Benefits  Cycling Value $7.45/trip x Compound Interest 1.38% (E)</t>
  </si>
  <si>
    <t>* Cycling Journey Value $2.21/mile x Compound Interest 1.38% (B)</t>
  </si>
  <si>
    <t>* Travel Time All Purposes Value $34.6/hour x Compound Interest 1.38%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</si>
</sst>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7" formatCode="&quot;$&quot;#,##0.00"/>
    <numFmt numFmtId="168" formatCode="#,##0.00000"/>
    <numFmt numFmtId="169" formatCode="&quot;$&quot;#,##0;[Red]&quot;$&quot;#,##0"/>
    <numFmt numFmtId="170" formatCode="0.0"/>
    <numFmt numFmtId="171" formatCode="0.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8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Cambria"/>
      <family val="1"/>
    </font>
    <font>
      <sz val="11"/>
      <color theme="10"/>
      <name val="Calibri"/>
      <family val="2"/>
      <scheme val="minor"/>
    </font>
    <font>
      <b/>
      <vertAlign val="subscript"/>
      <sz val="11"/>
      <color theme="0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BF8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/>
    <xf numFmtId="0" fontId="20" fillId="0" borderId="0"/>
    <xf numFmtId="0" fontId="26" fillId="0" borderId="0"/>
    <xf numFmtId="44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8">
    <xf numFmtId="0" fontId="0" fillId="0" borderId="0" xfId="0"/>
    <xf numFmtId="42" fontId="7" fillId="0" borderId="5" xfId="1" applyNumberFormat="1" applyFont="1" applyFill="1" applyBorder="1"/>
    <xf numFmtId="42" fontId="1" fillId="0" borderId="5" xfId="1" applyNumberFormat="1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15" fillId="0" borderId="5" xfId="0" applyFont="1" applyBorder="1" applyAlignment="1">
      <alignment horizontal="center" vertical="center" wrapText="1"/>
    </xf>
    <xf numFmtId="6" fontId="0" fillId="0" borderId="5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6" fontId="8" fillId="0" borderId="5" xfId="1" applyNumberFormat="1" applyFont="1" applyFill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5" fontId="2" fillId="0" borderId="5" xfId="1" applyNumberFormat="1" applyFont="1" applyBorder="1" applyAlignment="1">
      <alignment horizontal="center"/>
    </xf>
    <xf numFmtId="0" fontId="0" fillId="0" borderId="30" xfId="0" applyBorder="1"/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4" fontId="9" fillId="3" borderId="12" xfId="1" applyNumberFormat="1" applyFont="1" applyFill="1" applyBorder="1" applyAlignment="1">
      <alignment horizontal="center"/>
    </xf>
    <xf numFmtId="6" fontId="9" fillId="3" borderId="1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9" fillId="3" borderId="1" xfId="1" applyNumberFormat="1" applyFont="1" applyFill="1" applyBorder="1" applyAlignment="1">
      <alignment horizontal="center"/>
    </xf>
    <xf numFmtId="42" fontId="1" fillId="0" borderId="15" xfId="1" applyNumberFormat="1" applyFont="1" applyBorder="1"/>
    <xf numFmtId="0" fontId="0" fillId="0" borderId="15" xfId="0" applyBorder="1"/>
    <xf numFmtId="6" fontId="8" fillId="0" borderId="15" xfId="1" applyNumberFormat="1" applyFont="1" applyFill="1" applyBorder="1" applyAlignment="1">
      <alignment horizontal="center"/>
    </xf>
    <xf numFmtId="6" fontId="0" fillId="0" borderId="3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2" fontId="1" fillId="0" borderId="33" xfId="1" applyNumberFormat="1" applyFont="1" applyBorder="1"/>
    <xf numFmtId="0" fontId="15" fillId="0" borderId="3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19" xfId="0" applyBorder="1"/>
    <xf numFmtId="0" fontId="17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164" fontId="0" fillId="0" borderId="0" xfId="0" applyNumberFormat="1"/>
    <xf numFmtId="0" fontId="14" fillId="4" borderId="1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0" fillId="0" borderId="5" xfId="0" applyNumberForma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6" fontId="0" fillId="0" borderId="5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/>
    </xf>
    <xf numFmtId="0" fontId="10" fillId="0" borderId="5" xfId="2" applyBorder="1" applyAlignment="1">
      <alignment horizontal="center" vertical="center"/>
    </xf>
    <xf numFmtId="0" fontId="0" fillId="4" borderId="5" xfId="0" quotePrefix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center" vertical="center"/>
    </xf>
    <xf numFmtId="6" fontId="0" fillId="0" borderId="15" xfId="0" applyNumberForma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0" fillId="6" borderId="0" xfId="0" applyFill="1"/>
    <xf numFmtId="0" fontId="0" fillId="0" borderId="35" xfId="0" applyBorder="1" applyAlignment="1">
      <alignment horizontal="center"/>
    </xf>
    <xf numFmtId="42" fontId="1" fillId="0" borderId="22" xfId="1" applyNumberFormat="1" applyFont="1" applyBorder="1"/>
    <xf numFmtId="6" fontId="8" fillId="0" borderId="22" xfId="1" applyNumberFormat="1" applyFont="1" applyFill="1" applyBorder="1" applyAlignment="1">
      <alignment horizontal="center"/>
    </xf>
    <xf numFmtId="42" fontId="2" fillId="0" borderId="5" xfId="0" applyNumberFormat="1" applyFont="1" applyBorder="1"/>
    <xf numFmtId="42" fontId="0" fillId="0" borderId="0" xfId="0" applyNumberFormat="1"/>
    <xf numFmtId="6" fontId="8" fillId="0" borderId="5" xfId="0" applyNumberFormat="1" applyFont="1" applyBorder="1" applyAlignment="1">
      <alignment horizontal="center" vertical="center"/>
    </xf>
    <xf numFmtId="5" fontId="2" fillId="0" borderId="0" xfId="1" applyNumberFormat="1" applyFont="1" applyFill="1" applyAlignment="1">
      <alignment horizontal="center" vertical="center"/>
    </xf>
    <xf numFmtId="5" fontId="2" fillId="0" borderId="5" xfId="1" applyNumberFormat="1" applyFont="1" applyFill="1" applyBorder="1" applyAlignment="1">
      <alignment horizontal="center" vertical="center"/>
    </xf>
    <xf numFmtId="5" fontId="2" fillId="0" borderId="5" xfId="1" applyNumberFormat="1" applyFont="1" applyBorder="1" applyAlignment="1">
      <alignment horizontal="center" vertical="center"/>
    </xf>
    <xf numFmtId="42" fontId="8" fillId="4" borderId="5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vertical="center"/>
    </xf>
    <xf numFmtId="42" fontId="7" fillId="0" borderId="5" xfId="1" applyNumberFormat="1" applyFont="1" applyFill="1" applyBorder="1" applyAlignment="1">
      <alignment vertical="center"/>
    </xf>
    <xf numFmtId="42" fontId="7" fillId="0" borderId="30" xfId="1" applyNumberFormat="1" applyFont="1" applyFill="1" applyBorder="1" applyAlignment="1">
      <alignment vertical="center"/>
    </xf>
    <xf numFmtId="42" fontId="1" fillId="0" borderId="5" xfId="1" applyNumberFormat="1" applyFont="1" applyBorder="1" applyAlignment="1">
      <alignment vertical="center"/>
    </xf>
    <xf numFmtId="42" fontId="1" fillId="0" borderId="30" xfId="1" applyNumberFormat="1" applyFont="1" applyBorder="1" applyAlignment="1">
      <alignment vertical="center"/>
    </xf>
    <xf numFmtId="42" fontId="1" fillId="0" borderId="22" xfId="1" applyNumberFormat="1" applyFont="1" applyBorder="1" applyAlignment="1">
      <alignment vertical="center"/>
    </xf>
    <xf numFmtId="42" fontId="1" fillId="0" borderId="32" xfId="1" applyNumberFormat="1" applyFont="1" applyBorder="1" applyAlignment="1">
      <alignment vertical="center"/>
    </xf>
    <xf numFmtId="5" fontId="1" fillId="0" borderId="32" xfId="1" applyNumberFormat="1" applyFont="1" applyBorder="1" applyAlignment="1">
      <alignment vertical="center"/>
    </xf>
    <xf numFmtId="5" fontId="1" fillId="0" borderId="5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horizontal="center"/>
    </xf>
    <xf numFmtId="0" fontId="21" fillId="0" borderId="0" xfId="0" applyFont="1"/>
    <xf numFmtId="6" fontId="8" fillId="0" borderId="0" xfId="1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7" borderId="0" xfId="0" applyFill="1"/>
    <xf numFmtId="5" fontId="2" fillId="7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5" fontId="9" fillId="3" borderId="1" xfId="0" applyNumberFormat="1" applyFont="1" applyFill="1" applyBorder="1" applyAlignment="1">
      <alignment horizontal="center"/>
    </xf>
    <xf numFmtId="6" fontId="24" fillId="3" borderId="13" xfId="1" applyNumberFormat="1" applyFont="1" applyFill="1" applyBorder="1" applyAlignment="1">
      <alignment horizontal="center"/>
    </xf>
    <xf numFmtId="6" fontId="24" fillId="3" borderId="1" xfId="1" applyNumberFormat="1" applyFont="1" applyFill="1" applyBorder="1" applyAlignment="1">
      <alignment horizontal="center"/>
    </xf>
    <xf numFmtId="6" fontId="8" fillId="4" borderId="15" xfId="0" applyNumberFormat="1" applyFont="1" applyFill="1" applyBorder="1" applyAlignment="1">
      <alignment horizontal="center" vertical="center"/>
    </xf>
    <xf numFmtId="167" fontId="6" fillId="4" borderId="21" xfId="0" applyNumberFormat="1" applyFont="1" applyFill="1" applyBorder="1" applyAlignment="1">
      <alignment horizontal="center" vertical="center"/>
    </xf>
    <xf numFmtId="38" fontId="6" fillId="4" borderId="15" xfId="0" applyNumberFormat="1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42" fontId="6" fillId="4" borderId="15" xfId="0" applyNumberFormat="1" applyFont="1" applyFill="1" applyBorder="1" applyAlignment="1">
      <alignment horizontal="center" vertical="center" wrapText="1"/>
    </xf>
    <xf numFmtId="42" fontId="2" fillId="0" borderId="30" xfId="0" applyNumberFormat="1" applyFont="1" applyBorder="1" applyAlignment="1">
      <alignment vertical="center"/>
    </xf>
    <xf numFmtId="5" fontId="2" fillId="0" borderId="30" xfId="1" applyNumberFormat="1" applyFont="1" applyBorder="1" applyAlignment="1">
      <alignment horizontal="center" vertical="center"/>
    </xf>
    <xf numFmtId="5" fontId="2" fillId="0" borderId="5" xfId="1" applyNumberFormat="1" applyFont="1" applyBorder="1" applyAlignment="1">
      <alignment vertical="center"/>
    </xf>
    <xf numFmtId="6" fontId="8" fillId="4" borderId="19" xfId="0" applyNumberFormat="1" applyFont="1" applyFill="1" applyBorder="1" applyAlignment="1">
      <alignment horizontal="center" vertical="center"/>
    </xf>
    <xf numFmtId="5" fontId="1" fillId="0" borderId="22" xfId="1" applyNumberFormat="1" applyFont="1" applyBorder="1" applyAlignment="1">
      <alignment vertical="center"/>
    </xf>
    <xf numFmtId="42" fontId="2" fillId="0" borderId="37" xfId="0" applyNumberFormat="1" applyFont="1" applyBorder="1" applyAlignment="1">
      <alignment vertical="center"/>
    </xf>
    <xf numFmtId="5" fontId="2" fillId="0" borderId="37" xfId="1" applyNumberFormat="1" applyFont="1" applyBorder="1" applyAlignment="1">
      <alignment horizontal="center" vertical="center"/>
    </xf>
    <xf numFmtId="5" fontId="2" fillId="0" borderId="5" xfId="0" applyNumberFormat="1" applyFont="1" applyBorder="1"/>
    <xf numFmtId="0" fontId="6" fillId="4" borderId="0" xfId="0" applyFont="1" applyFill="1" applyAlignment="1">
      <alignment horizontal="center" vertical="center" wrapText="1"/>
    </xf>
    <xf numFmtId="165" fontId="15" fillId="0" borderId="5" xfId="0" applyNumberFormat="1" applyFont="1" applyBorder="1" applyAlignment="1">
      <alignment horizontal="center" vertical="center" wrapText="1"/>
    </xf>
    <xf numFmtId="6" fontId="0" fillId="0" borderId="17" xfId="0" applyNumberFormat="1" applyBorder="1" applyAlignment="1">
      <alignment horizontal="center"/>
    </xf>
    <xf numFmtId="5" fontId="3" fillId="0" borderId="5" xfId="1" applyNumberFormat="1" applyFont="1" applyBorder="1" applyAlignment="1">
      <alignment horizontal="center" vertical="center" wrapText="1"/>
    </xf>
    <xf numFmtId="42" fontId="8" fillId="0" borderId="5" xfId="1" applyNumberFormat="1" applyFont="1" applyFill="1" applyBorder="1"/>
    <xf numFmtId="6" fontId="3" fillId="3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8" fontId="0" fillId="0" borderId="12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8" fontId="0" fillId="0" borderId="27" xfId="0" applyNumberFormat="1" applyBorder="1" applyAlignment="1">
      <alignment horizontal="center"/>
    </xf>
    <xf numFmtId="8" fontId="0" fillId="0" borderId="28" xfId="0" applyNumberFormat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 wrapText="1"/>
    </xf>
    <xf numFmtId="8" fontId="2" fillId="0" borderId="2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8" fontId="2" fillId="0" borderId="0" xfId="0" applyNumberFormat="1" applyFont="1" applyAlignment="1">
      <alignment horizontal="center"/>
    </xf>
    <xf numFmtId="168" fontId="4" fillId="0" borderId="4" xfId="0" applyNumberFormat="1" applyFont="1" applyBorder="1" applyAlignment="1">
      <alignment horizontal="center" vertical="center" wrapText="1"/>
    </xf>
    <xf numFmtId="8" fontId="0" fillId="0" borderId="0" xfId="0" applyNumberFormat="1"/>
    <xf numFmtId="168" fontId="4" fillId="0" borderId="8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4" fillId="0" borderId="0" xfId="0" applyFont="1"/>
    <xf numFmtId="8" fontId="4" fillId="0" borderId="6" xfId="0" applyNumberFormat="1" applyFont="1" applyBorder="1" applyAlignment="1">
      <alignment horizontal="center" vertical="center" wrapText="1"/>
    </xf>
    <xf numFmtId="8" fontId="0" fillId="0" borderId="1" xfId="0" applyNumberFormat="1" applyBorder="1"/>
    <xf numFmtId="8" fontId="0" fillId="0" borderId="3" xfId="0" applyNumberFormat="1" applyBorder="1"/>
    <xf numFmtId="8" fontId="0" fillId="0" borderId="9" xfId="0" applyNumberFormat="1" applyBorder="1"/>
    <xf numFmtId="8" fontId="0" fillId="0" borderId="54" xfId="0" applyNumberFormat="1" applyBorder="1"/>
    <xf numFmtId="8" fontId="0" fillId="0" borderId="55" xfId="0" applyNumberFormat="1" applyBorder="1"/>
    <xf numFmtId="8" fontId="0" fillId="0" borderId="10" xfId="0" applyNumberFormat="1" applyBorder="1"/>
    <xf numFmtId="8" fontId="0" fillId="0" borderId="12" xfId="0" applyNumberFormat="1" applyBorder="1"/>
    <xf numFmtId="8" fontId="0" fillId="0" borderId="27" xfId="0" applyNumberFormat="1" applyBorder="1"/>
    <xf numFmtId="0" fontId="4" fillId="0" borderId="8" xfId="0" applyFont="1" applyBorder="1" applyAlignment="1">
      <alignment horizontal="center" vertical="center" wrapText="1"/>
    </xf>
    <xf numFmtId="8" fontId="0" fillId="0" borderId="28" xfId="0" applyNumberFormat="1" applyBorder="1"/>
    <xf numFmtId="8" fontId="2" fillId="0" borderId="3" xfId="0" applyNumberFormat="1" applyFont="1" applyBorder="1"/>
    <xf numFmtId="8" fontId="0" fillId="0" borderId="2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8" fontId="2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8" fontId="21" fillId="0" borderId="1" xfId="0" applyNumberFormat="1" applyFont="1" applyBorder="1" applyAlignment="1">
      <alignment horizontal="center"/>
    </xf>
    <xf numFmtId="8" fontId="21" fillId="0" borderId="3" xfId="0" applyNumberFormat="1" applyFont="1" applyBorder="1" applyAlignment="1">
      <alignment horizontal="center"/>
    </xf>
    <xf numFmtId="8" fontId="21" fillId="0" borderId="9" xfId="0" applyNumberFormat="1" applyFont="1" applyBorder="1" applyAlignment="1">
      <alignment horizontal="center"/>
    </xf>
    <xf numFmtId="8" fontId="21" fillId="0" borderId="54" xfId="0" applyNumberFormat="1" applyFont="1" applyBorder="1" applyAlignment="1">
      <alignment horizontal="center"/>
    </xf>
    <xf numFmtId="8" fontId="21" fillId="0" borderId="55" xfId="0" applyNumberFormat="1" applyFont="1" applyBorder="1" applyAlignment="1">
      <alignment horizontal="center"/>
    </xf>
    <xf numFmtId="8" fontId="21" fillId="0" borderId="10" xfId="0" applyNumberFormat="1" applyFont="1" applyBorder="1" applyAlignment="1">
      <alignment horizontal="center"/>
    </xf>
    <xf numFmtId="8" fontId="21" fillId="0" borderId="56" xfId="0" applyNumberFormat="1" applyFont="1" applyBorder="1" applyAlignment="1">
      <alignment horizontal="center"/>
    </xf>
    <xf numFmtId="8" fontId="21" fillId="0" borderId="5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8" fontId="0" fillId="0" borderId="46" xfId="0" applyNumberFormat="1" applyBorder="1"/>
    <xf numFmtId="16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3" fillId="0" borderId="13" xfId="0" applyNumberFormat="1" applyFont="1" applyBorder="1" applyAlignment="1">
      <alignment horizontal="center" vertical="center" wrapText="1"/>
    </xf>
    <xf numFmtId="8" fontId="2" fillId="0" borderId="1" xfId="0" applyNumberFormat="1" applyFont="1" applyBorder="1"/>
    <xf numFmtId="8" fontId="28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5" fontId="9" fillId="3" borderId="12" xfId="1" applyNumberFormat="1" applyFont="1" applyFill="1" applyBorder="1" applyAlignment="1">
      <alignment horizontal="center" vertical="top" wrapText="1"/>
    </xf>
    <xf numFmtId="5" fontId="0" fillId="0" borderId="0" xfId="0" applyNumberFormat="1"/>
    <xf numFmtId="0" fontId="5" fillId="10" borderId="1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0" fillId="10" borderId="13" xfId="0" applyFill="1" applyBorder="1"/>
    <xf numFmtId="0" fontId="0" fillId="10" borderId="2" xfId="0" applyFill="1" applyBorder="1"/>
    <xf numFmtId="0" fontId="32" fillId="10" borderId="13" xfId="0" applyFont="1" applyFill="1" applyBorder="1"/>
    <xf numFmtId="0" fontId="32" fillId="10" borderId="2" xfId="0" applyFont="1" applyFill="1" applyBorder="1"/>
    <xf numFmtId="0" fontId="5" fillId="5" borderId="3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31" fillId="9" borderId="4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36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/>
    </xf>
    <xf numFmtId="0" fontId="32" fillId="9" borderId="0" xfId="0" applyFont="1" applyFill="1"/>
    <xf numFmtId="0" fontId="34" fillId="9" borderId="15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6" fontId="31" fillId="9" borderId="5" xfId="0" applyNumberFormat="1" applyFont="1" applyFill="1" applyBorder="1" applyAlignment="1">
      <alignment horizontal="center"/>
    </xf>
    <xf numFmtId="0" fontId="18" fillId="10" borderId="12" xfId="0" applyFont="1" applyFill="1" applyBorder="1" applyAlignment="1">
      <alignment horizontal="left"/>
    </xf>
    <xf numFmtId="0" fontId="18" fillId="10" borderId="13" xfId="0" applyFont="1" applyFill="1" applyBorder="1"/>
    <xf numFmtId="0" fontId="32" fillId="11" borderId="5" xfId="0" applyFont="1" applyFill="1" applyBorder="1" applyAlignment="1">
      <alignment horizontal="center"/>
    </xf>
    <xf numFmtId="0" fontId="35" fillId="11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36" fillId="11" borderId="38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wrapText="1"/>
    </xf>
    <xf numFmtId="0" fontId="34" fillId="11" borderId="10" xfId="0" applyFont="1" applyFill="1" applyBorder="1" applyAlignment="1">
      <alignment horizontal="center"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7" xfId="0" applyFont="1" applyFill="1" applyBorder="1" applyAlignment="1">
      <alignment horizontal="center" vertical="center" wrapText="1"/>
    </xf>
    <xf numFmtId="0" fontId="18" fillId="10" borderId="12" xfId="0" applyFont="1" applyFill="1" applyBorder="1"/>
    <xf numFmtId="0" fontId="0" fillId="10" borderId="1" xfId="0" applyFill="1" applyBorder="1"/>
    <xf numFmtId="6" fontId="31" fillId="11" borderId="1" xfId="0" applyNumberFormat="1" applyFont="1" applyFill="1" applyBorder="1" applyAlignment="1">
      <alignment horizontal="center"/>
    </xf>
    <xf numFmtId="0" fontId="31" fillId="11" borderId="1" xfId="0" applyFont="1" applyFill="1" applyBorder="1" applyAlignment="1">
      <alignment horizontal="center"/>
    </xf>
    <xf numFmtId="3" fontId="34" fillId="11" borderId="3" xfId="0" applyNumberFormat="1" applyFont="1" applyFill="1" applyBorder="1" applyAlignment="1">
      <alignment horizontal="center" vertical="center" wrapText="1"/>
    </xf>
    <xf numFmtId="8" fontId="34" fillId="11" borderId="3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/>
    <xf numFmtId="0" fontId="29" fillId="0" borderId="0" xfId="0" applyFont="1"/>
    <xf numFmtId="0" fontId="37" fillId="0" borderId="0" xfId="0" applyFont="1"/>
    <xf numFmtId="0" fontId="31" fillId="11" borderId="15" xfId="0" applyFont="1" applyFill="1" applyBorder="1" applyAlignment="1">
      <alignment horizontal="center" vertical="center" wrapText="1"/>
    </xf>
    <xf numFmtId="0" fontId="31" fillId="11" borderId="15" xfId="0" applyFont="1" applyFill="1" applyBorder="1" applyAlignment="1">
      <alignment horizontal="center" vertical="center"/>
    </xf>
    <xf numFmtId="165" fontId="0" fillId="8" borderId="5" xfId="0" applyNumberFormat="1" applyFill="1" applyBorder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4" fontId="25" fillId="4" borderId="15" xfId="0" applyNumberFormat="1" applyFont="1" applyFill="1" applyBorder="1" applyAlignment="1">
      <alignment horizontal="center" vertical="center"/>
    </xf>
    <xf numFmtId="8" fontId="0" fillId="0" borderId="5" xfId="0" applyNumberFormat="1" applyBorder="1"/>
    <xf numFmtId="164" fontId="0" fillId="4" borderId="5" xfId="0" applyNumberFormat="1" applyFill="1" applyBorder="1" applyAlignment="1">
      <alignment horizontal="center" vertical="center"/>
    </xf>
    <xf numFmtId="42" fontId="7" fillId="0" borderId="5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5" fontId="1" fillId="0" borderId="5" xfId="1" applyNumberFormat="1" applyFont="1" applyBorder="1" applyAlignment="1">
      <alignment horizontal="center" vertical="center"/>
    </xf>
    <xf numFmtId="167" fontId="1" fillId="0" borderId="5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5" fontId="1" fillId="0" borderId="37" xfId="1" applyNumberFormat="1" applyFont="1" applyBorder="1" applyAlignment="1">
      <alignment horizontal="center" vertical="center"/>
    </xf>
    <xf numFmtId="5" fontId="9" fillId="3" borderId="1" xfId="1" applyNumberFormat="1" applyFont="1" applyFill="1" applyBorder="1" applyAlignment="1">
      <alignment horizontal="center" vertical="justify" wrapText="1" readingOrder="2"/>
    </xf>
    <xf numFmtId="5" fontId="9" fillId="3" borderId="1" xfId="1" applyNumberFormat="1" applyFont="1" applyFill="1" applyBorder="1" applyAlignment="1">
      <alignment horizontal="center" vertical="top" wrapText="1"/>
    </xf>
    <xf numFmtId="8" fontId="0" fillId="0" borderId="13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51" xfId="0" applyNumberFormat="1" applyBorder="1" applyAlignment="1">
      <alignment horizontal="center"/>
    </xf>
    <xf numFmtId="8" fontId="0" fillId="0" borderId="44" xfId="0" applyNumberFormat="1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0" fontId="34" fillId="11" borderId="53" xfId="0" applyFont="1" applyFill="1" applyBorder="1" applyAlignment="1">
      <alignment horizontal="center" vertical="center" wrapText="1"/>
    </xf>
    <xf numFmtId="0" fontId="34" fillId="11" borderId="58" xfId="0" applyFont="1" applyFill="1" applyBorder="1" applyAlignment="1">
      <alignment horizontal="center" vertical="center" wrapText="1"/>
    </xf>
    <xf numFmtId="8" fontId="4" fillId="0" borderId="43" xfId="0" applyNumberFormat="1" applyFont="1" applyBorder="1" applyAlignment="1">
      <alignment horizontal="center" vertical="center" wrapText="1"/>
    </xf>
    <xf numFmtId="1" fontId="4" fillId="0" borderId="52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8" fontId="3" fillId="0" borderId="34" xfId="0" applyNumberFormat="1" applyFont="1" applyBorder="1" applyAlignment="1">
      <alignment horizontal="center" vertical="center" wrapText="1"/>
    </xf>
    <xf numFmtId="169" fontId="24" fillId="2" borderId="3" xfId="0" applyNumberFormat="1" applyFont="1" applyFill="1" applyBorder="1" applyAlignment="1">
      <alignment horizontal="center" vertical="center" wrapText="1"/>
    </xf>
    <xf numFmtId="8" fontId="0" fillId="0" borderId="17" xfId="0" applyNumberFormat="1" applyBorder="1"/>
    <xf numFmtId="8" fontId="0" fillId="0" borderId="37" xfId="0" applyNumberFormat="1" applyBorder="1"/>
    <xf numFmtId="8" fontId="0" fillId="0" borderId="21" xfId="0" applyNumberFormat="1" applyBorder="1"/>
    <xf numFmtId="164" fontId="7" fillId="0" borderId="17" xfId="0" applyNumberFormat="1" applyFont="1" applyBorder="1" applyAlignment="1">
      <alignment horizontal="center"/>
    </xf>
    <xf numFmtId="42" fontId="6" fillId="4" borderId="29" xfId="0" applyNumberFormat="1" applyFont="1" applyFill="1" applyBorder="1" applyAlignment="1">
      <alignment horizontal="center" vertical="center" wrapText="1"/>
    </xf>
    <xf numFmtId="43" fontId="27" fillId="0" borderId="12" xfId="7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0" fontId="0" fillId="12" borderId="1" xfId="0" applyFill="1" applyBorder="1"/>
    <xf numFmtId="0" fontId="38" fillId="0" borderId="5" xfId="2" applyFont="1" applyBorder="1" applyAlignment="1">
      <alignment horizontal="center" vertical="center" wrapText="1"/>
    </xf>
    <xf numFmtId="6" fontId="4" fillId="0" borderId="4" xfId="0" applyNumberFormat="1" applyFont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8" borderId="17" xfId="0" applyNumberForma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9" borderId="1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2" fillId="9" borderId="1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wrapText="1"/>
    </xf>
    <xf numFmtId="0" fontId="0" fillId="4" borderId="0" xfId="0" applyFill="1"/>
    <xf numFmtId="0" fontId="0" fillId="9" borderId="0" xfId="0" applyFill="1"/>
    <xf numFmtId="0" fontId="0" fillId="4" borderId="0" xfId="0" applyFill="1" applyAlignment="1">
      <alignment horizontal="center" vertical="center"/>
    </xf>
    <xf numFmtId="0" fontId="34" fillId="11" borderId="2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/>
    </xf>
    <xf numFmtId="2" fontId="3" fillId="0" borderId="1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top"/>
    </xf>
    <xf numFmtId="170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70" fontId="4" fillId="0" borderId="5" xfId="0" applyNumberFormat="1" applyFont="1" applyBorder="1" applyAlignment="1">
      <alignment horizontal="center"/>
    </xf>
    <xf numFmtId="171" fontId="4" fillId="0" borderId="5" xfId="0" applyNumberFormat="1" applyFont="1" applyBorder="1" applyAlignment="1">
      <alignment horizontal="center"/>
    </xf>
    <xf numFmtId="0" fontId="5" fillId="5" borderId="31" xfId="0" applyFont="1" applyFill="1" applyBorder="1" applyAlignment="1">
      <alignment horizontal="center" vertical="top"/>
    </xf>
    <xf numFmtId="0" fontId="5" fillId="9" borderId="19" xfId="0" applyFont="1" applyFill="1" applyBorder="1" applyAlignment="1">
      <alignment horizontal="center" vertical="top"/>
    </xf>
    <xf numFmtId="0" fontId="31" fillId="9" borderId="0" xfId="0" applyFont="1" applyFill="1" applyAlignment="1">
      <alignment horizontal="center" vertical="top"/>
    </xf>
    <xf numFmtId="0" fontId="5" fillId="5" borderId="33" xfId="0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 vertical="top"/>
    </xf>
    <xf numFmtId="0" fontId="5" fillId="9" borderId="36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6" fontId="8" fillId="4" borderId="34" xfId="0" applyNumberFormat="1" applyFont="1" applyFill="1" applyBorder="1" applyAlignment="1">
      <alignment horizontal="center" vertical="center"/>
    </xf>
    <xf numFmtId="6" fontId="8" fillId="4" borderId="29" xfId="0" applyNumberFormat="1" applyFont="1" applyFill="1" applyBorder="1" applyAlignment="1">
      <alignment horizontal="center" vertical="center"/>
    </xf>
    <xf numFmtId="164" fontId="25" fillId="4" borderId="19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top"/>
    </xf>
    <xf numFmtId="9" fontId="5" fillId="4" borderId="5" xfId="0" applyNumberFormat="1" applyFont="1" applyFill="1" applyBorder="1" applyAlignment="1">
      <alignment horizontal="center" vertical="center"/>
    </xf>
    <xf numFmtId="38" fontId="5" fillId="4" borderId="5" xfId="0" applyNumberFormat="1" applyFont="1" applyFill="1" applyBorder="1" applyAlignment="1">
      <alignment horizontal="center" vertical="center" wrapText="1"/>
    </xf>
    <xf numFmtId="42" fontId="5" fillId="4" borderId="5" xfId="0" applyNumberFormat="1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top"/>
    </xf>
    <xf numFmtId="0" fontId="20" fillId="4" borderId="5" xfId="0" applyFont="1" applyFill="1" applyBorder="1" applyAlignment="1">
      <alignment horizontal="center" vertical="center"/>
    </xf>
    <xf numFmtId="6" fontId="44" fillId="4" borderId="5" xfId="0" applyNumberFormat="1" applyFont="1" applyFill="1" applyBorder="1" applyAlignment="1">
      <alignment horizontal="center" vertical="center" wrapText="1"/>
    </xf>
    <xf numFmtId="8" fontId="2" fillId="0" borderId="5" xfId="0" applyNumberFormat="1" applyFont="1" applyBorder="1"/>
    <xf numFmtId="1" fontId="0" fillId="0" borderId="0" xfId="0" applyNumberFormat="1"/>
    <xf numFmtId="0" fontId="0" fillId="0" borderId="17" xfId="0" applyBorder="1" applyAlignment="1">
      <alignment horizontal="center"/>
    </xf>
    <xf numFmtId="6" fontId="3" fillId="3" borderId="1" xfId="0" applyNumberFormat="1" applyFont="1" applyFill="1" applyBorder="1" applyAlignment="1">
      <alignment horizontal="center" vertical="center"/>
    </xf>
    <xf numFmtId="0" fontId="10" fillId="0" borderId="22" xfId="2" applyBorder="1" applyAlignment="1">
      <alignment horizontal="center" vertical="center" wrapText="1"/>
    </xf>
    <xf numFmtId="0" fontId="45" fillId="0" borderId="0" xfId="0" applyFont="1"/>
    <xf numFmtId="164" fontId="45" fillId="0" borderId="0" xfId="0" applyNumberFormat="1" applyFont="1"/>
    <xf numFmtId="0" fontId="10" fillId="0" borderId="22" xfId="2" applyBorder="1" applyAlignment="1">
      <alignment horizontal="center" vertical="center" wrapText="1"/>
    </xf>
    <xf numFmtId="0" fontId="10" fillId="0" borderId="19" xfId="2" applyBorder="1" applyAlignment="1">
      <alignment horizontal="center" vertical="center" wrapText="1"/>
    </xf>
    <xf numFmtId="0" fontId="10" fillId="0" borderId="15" xfId="2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2" fillId="10" borderId="12" xfId="0" applyFont="1" applyFill="1" applyBorder="1" applyAlignment="1">
      <alignment horizontal="center" wrapText="1"/>
    </xf>
    <xf numFmtId="0" fontId="23" fillId="10" borderId="13" xfId="0" applyFont="1" applyFill="1" applyBorder="1" applyAlignment="1">
      <alignment horizontal="center" wrapText="1"/>
    </xf>
    <xf numFmtId="0" fontId="23" fillId="10" borderId="2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10" borderId="12" xfId="0" applyFont="1" applyFill="1" applyBorder="1" applyAlignment="1">
      <alignment horizontal="left"/>
    </xf>
    <xf numFmtId="0" fontId="30" fillId="10" borderId="13" xfId="0" applyFont="1" applyFill="1" applyBorder="1" applyAlignment="1">
      <alignment horizontal="left"/>
    </xf>
    <xf numFmtId="0" fontId="30" fillId="10" borderId="2" xfId="0" applyFont="1" applyFill="1" applyBorder="1" applyAlignment="1">
      <alignment horizontal="left"/>
    </xf>
    <xf numFmtId="0" fontId="0" fillId="0" borderId="0" xfId="0"/>
    <xf numFmtId="0" fontId="18" fillId="10" borderId="12" xfId="0" applyFont="1" applyFill="1" applyBorder="1" applyAlignment="1">
      <alignment horizontal="center"/>
    </xf>
    <xf numFmtId="0" fontId="18" fillId="10" borderId="13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0" borderId="48" xfId="0" applyFont="1" applyFill="1" applyBorder="1" applyAlignment="1">
      <alignment horizontal="center"/>
    </xf>
    <xf numFmtId="0" fontId="18" fillId="10" borderId="44" xfId="0" applyFont="1" applyFill="1" applyBorder="1" applyAlignment="1">
      <alignment horizontal="center"/>
    </xf>
    <xf numFmtId="0" fontId="18" fillId="10" borderId="47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43" fillId="9" borderId="20" xfId="0" applyFont="1" applyFill="1" applyBorder="1" applyAlignment="1">
      <alignment horizontal="center" vertical="center"/>
    </xf>
    <xf numFmtId="0" fontId="43" fillId="9" borderId="18" xfId="0" applyFont="1" applyFill="1" applyBorder="1" applyAlignment="1">
      <alignment horizontal="center" vertical="center"/>
    </xf>
    <xf numFmtId="0" fontId="43" fillId="9" borderId="7" xfId="0" applyFont="1" applyFill="1" applyBorder="1" applyAlignment="1">
      <alignment horizontal="center" vertical="center"/>
    </xf>
    <xf numFmtId="0" fontId="43" fillId="9" borderId="27" xfId="0" applyFont="1" applyFill="1" applyBorder="1" applyAlignment="1">
      <alignment horizontal="center" vertical="center"/>
    </xf>
    <xf numFmtId="0" fontId="43" fillId="9" borderId="6" xfId="0" applyFont="1" applyFill="1" applyBorder="1" applyAlignment="1">
      <alignment horizontal="center" vertical="center"/>
    </xf>
    <xf numFmtId="0" fontId="43" fillId="9" borderId="4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9" fontId="5" fillId="9" borderId="10" xfId="0" applyNumberFormat="1" applyFont="1" applyFill="1" applyBorder="1" applyAlignment="1">
      <alignment horizontal="center" vertical="center"/>
    </xf>
    <xf numFmtId="9" fontId="5" fillId="9" borderId="9" xfId="0" applyNumberFormat="1" applyFont="1" applyFill="1" applyBorder="1" applyAlignment="1">
      <alignment horizontal="center" vertical="center"/>
    </xf>
    <xf numFmtId="38" fontId="5" fillId="9" borderId="31" xfId="0" applyNumberFormat="1" applyFont="1" applyFill="1" applyBorder="1" applyAlignment="1">
      <alignment horizontal="center" vertical="center" wrapText="1"/>
    </xf>
    <xf numFmtId="0" fontId="5" fillId="9" borderId="57" xfId="0" applyFont="1" applyFill="1" applyBorder="1" applyAlignment="1">
      <alignment horizontal="center" vertical="center" wrapText="1"/>
    </xf>
    <xf numFmtId="42" fontId="5" fillId="9" borderId="36" xfId="0" applyNumberFormat="1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42" fontId="33" fillId="9" borderId="0" xfId="0" applyNumberFormat="1" applyFont="1" applyFill="1" applyAlignment="1">
      <alignment horizontal="center"/>
    </xf>
    <xf numFmtId="0" fontId="0" fillId="0" borderId="6" xfId="0" applyBorder="1" applyAlignment="1">
      <alignment horizontal="center"/>
    </xf>
    <xf numFmtId="0" fontId="5" fillId="9" borderId="11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9" borderId="46" xfId="0" applyFont="1" applyFill="1" applyBorder="1" applyAlignment="1">
      <alignment horizontal="center" vertical="center" wrapText="1"/>
    </xf>
    <xf numFmtId="42" fontId="5" fillId="9" borderId="10" xfId="0" applyNumberFormat="1" applyFont="1" applyFill="1" applyBorder="1" applyAlignment="1">
      <alignment horizontal="center" vertical="center" wrapText="1"/>
    </xf>
    <xf numFmtId="42" fontId="5" fillId="9" borderId="9" xfId="0" applyNumberFormat="1" applyFont="1" applyFill="1" applyBorder="1" applyAlignment="1">
      <alignment horizontal="center" vertical="center" wrapText="1"/>
    </xf>
    <xf numFmtId="0" fontId="5" fillId="9" borderId="54" xfId="0" applyFont="1" applyFill="1" applyBorder="1" applyAlignment="1">
      <alignment horizontal="center" vertical="center" wrapText="1"/>
    </xf>
    <xf numFmtId="0" fontId="5" fillId="9" borderId="56" xfId="0" applyFont="1" applyFill="1" applyBorder="1" applyAlignment="1">
      <alignment horizontal="center" vertical="center" wrapText="1"/>
    </xf>
    <xf numFmtId="0" fontId="5" fillId="9" borderId="5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38" fontId="0" fillId="2" borderId="5" xfId="0" applyNumberForma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8" fontId="0" fillId="2" borderId="24" xfId="0" applyNumberFormat="1" applyFill="1" applyBorder="1" applyAlignment="1">
      <alignment horizontal="center" vertical="center" wrapText="1"/>
    </xf>
    <xf numFmtId="167" fontId="0" fillId="2" borderId="41" xfId="1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0" fontId="0" fillId="2" borderId="22" xfId="0" applyNumberFormat="1" applyFill="1" applyBorder="1" applyAlignment="1">
      <alignment horizontal="center" vertical="center"/>
    </xf>
    <xf numFmtId="10" fontId="0" fillId="2" borderId="24" xfId="0" applyNumberFormat="1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40" fontId="0" fillId="2" borderId="5" xfId="0" applyNumberFormat="1" applyFill="1" applyBorder="1" applyAlignment="1">
      <alignment horizontal="center" vertical="center"/>
    </xf>
    <xf numFmtId="167" fontId="0" fillId="2" borderId="5" xfId="1" applyNumberFormat="1" applyFont="1" applyFill="1" applyBorder="1" applyAlignment="1">
      <alignment horizontal="center" vertical="center"/>
    </xf>
    <xf numFmtId="8" fontId="0" fillId="2" borderId="5" xfId="0" applyNumberFormat="1" applyFill="1" applyBorder="1" applyAlignment="1">
      <alignment horizontal="center" vertical="center" wrapText="1"/>
    </xf>
    <xf numFmtId="8" fontId="0" fillId="2" borderId="0" xfId="0" applyNumberFormat="1" applyFill="1" applyAlignment="1">
      <alignment horizontal="center" vertical="center"/>
    </xf>
    <xf numFmtId="0" fontId="31" fillId="9" borderId="60" xfId="0" applyFont="1" applyFill="1" applyBorder="1" applyAlignment="1">
      <alignment horizontal="center" vertical="center"/>
    </xf>
    <xf numFmtId="0" fontId="31" fillId="9" borderId="49" xfId="0" applyFont="1" applyFill="1" applyBorder="1" applyAlignment="1">
      <alignment horizontal="center" vertical="center"/>
    </xf>
    <xf numFmtId="9" fontId="5" fillId="9" borderId="61" xfId="0" applyNumberFormat="1" applyFont="1" applyFill="1" applyBorder="1" applyAlignment="1">
      <alignment horizontal="center" vertical="center"/>
    </xf>
  </cellXfs>
  <cellStyles count="8">
    <cellStyle name="Comma" xfId="7" builtinId="3"/>
    <cellStyle name="Currency" xfId="1" builtinId="4"/>
    <cellStyle name="Currency 2" xfId="6" xr:uid="{9CD938F4-A853-4E91-B884-43B2E6E6C77A}"/>
    <cellStyle name="Hyperlink" xfId="2" builtinId="8"/>
    <cellStyle name="Normal" xfId="0" builtinId="0"/>
    <cellStyle name="Normal 2" xfId="4" xr:uid="{A2B961FF-4A96-4F31-BBD2-39737E5BE258}"/>
    <cellStyle name="Normal 3" xfId="3" xr:uid="{152EC4FA-351D-44FF-9CC2-9DB4896F57C5}"/>
    <cellStyle name="Normal 4" xfId="5" xr:uid="{835BED86-7B2A-46C4-B573-0E21C0EBF58F}"/>
  </cellStyles>
  <dxfs count="0"/>
  <tableStyles count="0" defaultTableStyle="TableStyleMedium2" defaultPivotStyle="PivotStyleLight16"/>
  <colors>
    <mruColors>
      <color rgb="FFFF3300"/>
      <color rgb="FFFABF8F"/>
      <color rgb="FFCCCC00"/>
      <color rgb="FFDAEEF3"/>
      <color rgb="FF3399FF"/>
      <color rgb="FF339BFF"/>
      <color rgb="FFE6B8B7"/>
      <color rgb="FFFFCC00"/>
      <color rgb="FFF3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4</xdr:row>
      <xdr:rowOff>90697</xdr:rowOff>
    </xdr:from>
    <xdr:to>
      <xdr:col>21</xdr:col>
      <xdr:colOff>523876</xdr:colOff>
      <xdr:row>15</xdr:row>
      <xdr:rowOff>66673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DEE45-EF4A-BDC6-0A3D-A52787181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55" t="18752" r="65639" b="57907"/>
        <a:stretch>
          <a:fillRect/>
        </a:stretch>
      </xdr:blipFill>
      <xdr:spPr>
        <a:xfrm>
          <a:off x="6781800" y="1995697"/>
          <a:ext cx="10963276" cy="24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3</xdr:row>
      <xdr:rowOff>62231</xdr:rowOff>
    </xdr:from>
    <xdr:to>
      <xdr:col>20</xdr:col>
      <xdr:colOff>431800</xdr:colOff>
      <xdr:row>29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AAE1C7-D92D-5577-5934-D6B5DA8C27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423" t="18411" r="65503" b="41683"/>
        <a:stretch>
          <a:fillRect/>
        </a:stretch>
      </xdr:blipFill>
      <xdr:spPr>
        <a:xfrm>
          <a:off x="381000" y="932181"/>
          <a:ext cx="12242800" cy="4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31</xdr:row>
      <xdr:rowOff>21380</xdr:rowOff>
    </xdr:from>
    <xdr:to>
      <xdr:col>27</xdr:col>
      <xdr:colOff>393700</xdr:colOff>
      <xdr:row>70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CB3737-9F84-3DE9-BE06-B5F9CD09F8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5" t="11039" r="62121" b="32394"/>
        <a:stretch>
          <a:fillRect/>
        </a:stretch>
      </xdr:blipFill>
      <xdr:spPr>
        <a:xfrm>
          <a:off x="558800" y="6047530"/>
          <a:ext cx="16294100" cy="72811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71</xdr:row>
      <xdr:rowOff>25400</xdr:rowOff>
    </xdr:from>
    <xdr:to>
      <xdr:col>14</xdr:col>
      <xdr:colOff>317500</xdr:colOff>
      <xdr:row>131</xdr:row>
      <xdr:rowOff>81362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9621BF-395D-CB50-A3B4-89AE886FC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3607" t="11437" r="73063" b="26410"/>
        <a:stretch>
          <a:fillRect/>
        </a:stretch>
      </xdr:blipFill>
      <xdr:spPr>
        <a:xfrm>
          <a:off x="730250" y="13417550"/>
          <a:ext cx="8121650" cy="1110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</xdr:row>
      <xdr:rowOff>66675</xdr:rowOff>
    </xdr:from>
    <xdr:to>
      <xdr:col>19</xdr:col>
      <xdr:colOff>342901</xdr:colOff>
      <xdr:row>65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72990B-EFC0-5C42-D349-2069785ED5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692" t="9643" r="69267" b="5440"/>
        <a:stretch>
          <a:fillRect/>
        </a:stretch>
      </xdr:blipFill>
      <xdr:spPr>
        <a:xfrm>
          <a:off x="819151" y="257175"/>
          <a:ext cx="11106150" cy="1216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ortation.gov/office-policy/transportation-policy/revised-departmental-guidance-valuation-travel-time-economic,%202017,%20Table%20VM1" TargetMode="External"/><Relationship Id="rId1" Type="http://schemas.openxmlformats.org/officeDocument/2006/relationships/hyperlink" Target="http://www.bls.gov/data/inflation_calculator.ht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zoomScaleNormal="100" workbookViewId="0">
      <selection activeCell="L19" sqref="L19"/>
    </sheetView>
  </sheetViews>
  <sheetFormatPr defaultRowHeight="15" x14ac:dyDescent="0.25"/>
  <cols>
    <col min="1" max="1" width="36.85546875" customWidth="1"/>
    <col min="2" max="2" width="12.42578125" customWidth="1"/>
    <col min="3" max="3" width="41" customWidth="1"/>
    <col min="4" max="4" width="40.42578125" customWidth="1"/>
  </cols>
  <sheetData>
    <row r="1" spans="1:4" ht="15.75" thickBot="1" x14ac:dyDescent="0.3">
      <c r="A1" s="4"/>
      <c r="C1" s="5"/>
    </row>
    <row r="2" spans="1:4" ht="19.5" thickBot="1" x14ac:dyDescent="0.35">
      <c r="A2" s="339" t="s">
        <v>13</v>
      </c>
      <c r="B2" s="340"/>
      <c r="C2" s="340"/>
      <c r="D2" s="341"/>
    </row>
    <row r="3" spans="1:4" ht="24.4" customHeight="1" x14ac:dyDescent="0.25">
      <c r="A3" s="232" t="s">
        <v>14</v>
      </c>
      <c r="B3" s="233" t="s">
        <v>33</v>
      </c>
      <c r="C3" s="232" t="s">
        <v>34</v>
      </c>
      <c r="D3" s="233" t="s">
        <v>93</v>
      </c>
    </row>
    <row r="4" spans="1:4" x14ac:dyDescent="0.25">
      <c r="A4" s="54" t="s">
        <v>15</v>
      </c>
      <c r="B4" s="400">
        <v>30</v>
      </c>
      <c r="C4" s="54" t="s">
        <v>35</v>
      </c>
      <c r="D4" s="18" t="s">
        <v>47</v>
      </c>
    </row>
    <row r="5" spans="1:4" ht="90" x14ac:dyDescent="0.25">
      <c r="A5" s="54" t="s">
        <v>16</v>
      </c>
      <c r="B5" s="401">
        <v>7.0000000000000007E-2</v>
      </c>
      <c r="C5" s="54" t="s">
        <v>36</v>
      </c>
      <c r="D5" s="54" t="s">
        <v>130</v>
      </c>
    </row>
    <row r="6" spans="1:4" ht="27.4" customHeight="1" x14ac:dyDescent="0.25">
      <c r="A6" s="54" t="s">
        <v>17</v>
      </c>
      <c r="B6" s="400">
        <v>34.6</v>
      </c>
      <c r="C6" s="54" t="s">
        <v>37</v>
      </c>
      <c r="D6" s="342" t="s">
        <v>195</v>
      </c>
    </row>
    <row r="7" spans="1:4" ht="28.15" customHeight="1" x14ac:dyDescent="0.25">
      <c r="A7" s="54" t="s">
        <v>18</v>
      </c>
      <c r="B7" s="400">
        <v>20.100000000000001</v>
      </c>
      <c r="C7" s="52" t="s">
        <v>37</v>
      </c>
      <c r="D7" s="343"/>
    </row>
    <row r="8" spans="1:4" ht="28.15" customHeight="1" x14ac:dyDescent="0.25">
      <c r="A8" s="54" t="s">
        <v>80</v>
      </c>
      <c r="B8" s="400">
        <v>21.8</v>
      </c>
      <c r="C8" s="52" t="s">
        <v>37</v>
      </c>
      <c r="D8" s="343"/>
    </row>
    <row r="9" spans="1:4" ht="25.9" customHeight="1" x14ac:dyDescent="0.25">
      <c r="A9" s="54" t="s">
        <v>19</v>
      </c>
      <c r="B9" s="402">
        <v>13700000</v>
      </c>
      <c r="C9" s="52" t="s">
        <v>38</v>
      </c>
      <c r="D9" s="343"/>
    </row>
    <row r="10" spans="1:4" ht="18.399999999999999" customHeight="1" x14ac:dyDescent="0.25">
      <c r="A10" s="54" t="s">
        <v>76</v>
      </c>
      <c r="B10" s="402">
        <v>1302300</v>
      </c>
      <c r="C10" s="52" t="s">
        <v>39</v>
      </c>
      <c r="D10" s="343"/>
    </row>
    <row r="11" spans="1:4" ht="21.4" customHeight="1" x14ac:dyDescent="0.25">
      <c r="A11" s="54" t="s">
        <v>77</v>
      </c>
      <c r="B11" s="402">
        <v>256300</v>
      </c>
      <c r="C11" s="52" t="s">
        <v>39</v>
      </c>
      <c r="D11" s="343"/>
    </row>
    <row r="12" spans="1:4" ht="20.25" customHeight="1" x14ac:dyDescent="0.25">
      <c r="A12" s="54" t="s">
        <v>78</v>
      </c>
      <c r="B12" s="402">
        <v>122400</v>
      </c>
      <c r="C12" s="52" t="s">
        <v>39</v>
      </c>
      <c r="D12" s="343"/>
    </row>
    <row r="13" spans="1:4" ht="19.5" customHeight="1" x14ac:dyDescent="0.25">
      <c r="A13" s="54" t="s">
        <v>79</v>
      </c>
      <c r="B13" s="402">
        <v>5500</v>
      </c>
      <c r="C13" s="52" t="s">
        <v>39</v>
      </c>
      <c r="D13" s="343"/>
    </row>
    <row r="14" spans="1:4" ht="32.1" customHeight="1" x14ac:dyDescent="0.25">
      <c r="A14" s="56" t="s">
        <v>81</v>
      </c>
      <c r="B14" s="411">
        <v>0.13</v>
      </c>
      <c r="C14" s="52" t="s">
        <v>82</v>
      </c>
      <c r="D14" s="343"/>
    </row>
    <row r="15" spans="1:4" ht="27" customHeight="1" x14ac:dyDescent="0.25">
      <c r="A15" s="54" t="s">
        <v>20</v>
      </c>
      <c r="B15" s="403">
        <v>9700</v>
      </c>
      <c r="C15" s="52" t="s">
        <v>40</v>
      </c>
      <c r="D15" s="343"/>
    </row>
    <row r="16" spans="1:4" ht="57.6" customHeight="1" x14ac:dyDescent="0.25">
      <c r="A16" s="56" t="s">
        <v>83</v>
      </c>
      <c r="B16" s="412">
        <v>0.56999999999999995</v>
      </c>
      <c r="C16" s="52" t="s">
        <v>82</v>
      </c>
      <c r="D16" s="343"/>
    </row>
    <row r="17" spans="1:4" ht="57.6" customHeight="1" x14ac:dyDescent="0.25">
      <c r="A17" s="56" t="s">
        <v>84</v>
      </c>
      <c r="B17" s="413">
        <v>1.76</v>
      </c>
      <c r="C17" s="52" t="s">
        <v>137</v>
      </c>
      <c r="D17" s="343"/>
    </row>
    <row r="18" spans="1:4" ht="57.6" customHeight="1" x14ac:dyDescent="0.25">
      <c r="A18" s="56" t="s">
        <v>138</v>
      </c>
      <c r="B18" s="413">
        <v>2.21</v>
      </c>
      <c r="C18" s="52" t="s">
        <v>137</v>
      </c>
      <c r="D18" s="343"/>
    </row>
    <row r="19" spans="1:4" ht="57.6" customHeight="1" x14ac:dyDescent="0.25">
      <c r="A19" s="18" t="s">
        <v>85</v>
      </c>
      <c r="B19" s="414">
        <v>2.09</v>
      </c>
      <c r="C19" s="52" t="s">
        <v>137</v>
      </c>
      <c r="D19" s="343"/>
    </row>
    <row r="20" spans="1:4" ht="57.6" customHeight="1" x14ac:dyDescent="0.25">
      <c r="A20" s="53" t="s">
        <v>86</v>
      </c>
      <c r="B20" s="412">
        <v>0.33</v>
      </c>
      <c r="C20" s="52" t="s">
        <v>137</v>
      </c>
      <c r="D20" s="343"/>
    </row>
    <row r="21" spans="1:4" ht="57.6" customHeight="1" x14ac:dyDescent="0.25">
      <c r="A21" s="54" t="s">
        <v>87</v>
      </c>
      <c r="B21" s="412">
        <v>8.36</v>
      </c>
      <c r="C21" s="52" t="s">
        <v>137</v>
      </c>
      <c r="D21" s="343"/>
    </row>
    <row r="22" spans="1:4" ht="57.6" customHeight="1" x14ac:dyDescent="0.25">
      <c r="A22" s="54" t="s">
        <v>88</v>
      </c>
      <c r="B22" s="412">
        <v>7.45</v>
      </c>
      <c r="C22" s="52" t="s">
        <v>137</v>
      </c>
      <c r="D22" s="343"/>
    </row>
    <row r="23" spans="1:4" ht="33.75" customHeight="1" x14ac:dyDescent="0.25">
      <c r="A23" s="56" t="s">
        <v>21</v>
      </c>
      <c r="B23" s="403">
        <v>2100</v>
      </c>
      <c r="C23" s="64" t="s">
        <v>41</v>
      </c>
      <c r="D23" s="343"/>
    </row>
    <row r="24" spans="1:4" x14ac:dyDescent="0.25">
      <c r="A24" s="54" t="s">
        <v>22</v>
      </c>
      <c r="B24" s="403">
        <v>22000</v>
      </c>
      <c r="C24" s="52" t="s">
        <v>197</v>
      </c>
      <c r="D24" s="343"/>
    </row>
    <row r="25" spans="1:4" x14ac:dyDescent="0.25">
      <c r="A25" s="54" t="s">
        <v>136</v>
      </c>
      <c r="B25" s="403">
        <v>1070700</v>
      </c>
      <c r="C25" s="52" t="s">
        <v>197</v>
      </c>
      <c r="D25" s="343"/>
    </row>
    <row r="26" spans="1:4" x14ac:dyDescent="0.25">
      <c r="A26" s="54" t="s">
        <v>23</v>
      </c>
      <c r="B26" s="403">
        <v>60100</v>
      </c>
      <c r="C26" s="52" t="s">
        <v>197</v>
      </c>
      <c r="D26" s="344"/>
    </row>
    <row r="27" spans="1:4" x14ac:dyDescent="0.25">
      <c r="A27" s="56" t="s">
        <v>24</v>
      </c>
      <c r="B27" s="400">
        <v>28.47</v>
      </c>
      <c r="C27" s="56" t="s">
        <v>42</v>
      </c>
      <c r="D27" s="334" t="s">
        <v>48</v>
      </c>
    </row>
    <row r="28" spans="1:4" ht="19.350000000000001" customHeight="1" x14ac:dyDescent="0.25">
      <c r="A28" s="56" t="s">
        <v>25</v>
      </c>
      <c r="B28" s="400">
        <v>27.33</v>
      </c>
      <c r="C28" s="56" t="s">
        <v>42</v>
      </c>
      <c r="D28" s="335"/>
    </row>
    <row r="29" spans="1:4" x14ac:dyDescent="0.25">
      <c r="A29" s="56" t="s">
        <v>26</v>
      </c>
      <c r="B29" s="400">
        <v>18.32</v>
      </c>
      <c r="C29" s="56" t="s">
        <v>42</v>
      </c>
      <c r="D29" s="335"/>
    </row>
    <row r="30" spans="1:4" x14ac:dyDescent="0.25">
      <c r="A30" s="56" t="s">
        <v>27</v>
      </c>
      <c r="B30" s="403">
        <v>9737.44</v>
      </c>
      <c r="C30" s="56" t="s">
        <v>42</v>
      </c>
      <c r="D30" s="335"/>
    </row>
    <row r="31" spans="1:4" ht="33" customHeight="1" x14ac:dyDescent="0.25">
      <c r="A31" s="56" t="s">
        <v>28</v>
      </c>
      <c r="B31" s="400">
        <v>4.1489999999999999E-2</v>
      </c>
      <c r="C31" s="56" t="s">
        <v>43</v>
      </c>
      <c r="D31" s="336"/>
    </row>
    <row r="32" spans="1:4" ht="42" customHeight="1" x14ac:dyDescent="0.25">
      <c r="A32" s="54" t="s">
        <v>156</v>
      </c>
      <c r="B32" s="400">
        <v>3.383</v>
      </c>
      <c r="C32" s="52" t="s">
        <v>44</v>
      </c>
      <c r="D32" s="404" t="s">
        <v>157</v>
      </c>
    </row>
    <row r="33" spans="1:4" ht="28.5" customHeight="1" x14ac:dyDescent="0.25">
      <c r="A33" s="54" t="s">
        <v>29</v>
      </c>
      <c r="B33" s="400">
        <v>1.52</v>
      </c>
      <c r="C33" s="54" t="s">
        <v>45</v>
      </c>
      <c r="D33" s="272" t="s">
        <v>135</v>
      </c>
    </row>
    <row r="34" spans="1:4" ht="31.15" customHeight="1" x14ac:dyDescent="0.25">
      <c r="A34" s="51" t="s">
        <v>90</v>
      </c>
      <c r="B34" s="408">
        <v>4.2299999999999997E-2</v>
      </c>
      <c r="C34" s="294" t="s">
        <v>89</v>
      </c>
      <c r="D34" s="331" t="s">
        <v>49</v>
      </c>
    </row>
    <row r="35" spans="1:4" ht="24.4" customHeight="1" x14ac:dyDescent="0.25">
      <c r="A35" s="58" t="s">
        <v>132</v>
      </c>
      <c r="B35" s="407"/>
      <c r="C35" s="295" t="s">
        <v>169</v>
      </c>
      <c r="D35" s="59" t="s">
        <v>131</v>
      </c>
    </row>
    <row r="36" spans="1:4" ht="28.5" customHeight="1" x14ac:dyDescent="0.25">
      <c r="A36" s="58" t="s">
        <v>133</v>
      </c>
      <c r="B36" s="407"/>
      <c r="C36" s="295" t="s">
        <v>169</v>
      </c>
      <c r="D36" s="59" t="s">
        <v>131</v>
      </c>
    </row>
    <row r="37" spans="1:4" ht="24" customHeight="1" x14ac:dyDescent="0.25">
      <c r="A37" s="58" t="s">
        <v>134</v>
      </c>
      <c r="B37" s="407"/>
      <c r="C37" s="295" t="s">
        <v>169</v>
      </c>
      <c r="D37" s="59" t="s">
        <v>131</v>
      </c>
    </row>
    <row r="38" spans="1:4" ht="88.5" customHeight="1" x14ac:dyDescent="0.25">
      <c r="A38" s="55" t="s">
        <v>91</v>
      </c>
      <c r="B38" s="405">
        <v>0.56000000000000005</v>
      </c>
      <c r="C38" s="55">
        <v>2025</v>
      </c>
      <c r="D38" s="60" t="s">
        <v>196</v>
      </c>
    </row>
    <row r="39" spans="1:4" ht="56.45" customHeight="1" x14ac:dyDescent="0.25">
      <c r="A39" s="54" t="s">
        <v>92</v>
      </c>
      <c r="B39" s="406">
        <v>1.23</v>
      </c>
      <c r="C39" s="55">
        <v>2025</v>
      </c>
      <c r="D39" s="60" t="s">
        <v>196</v>
      </c>
    </row>
    <row r="40" spans="1:4" ht="30.4" customHeight="1" x14ac:dyDescent="0.25">
      <c r="A40" s="61" t="s">
        <v>30</v>
      </c>
      <c r="B40" s="409">
        <v>0.02</v>
      </c>
      <c r="C40" s="55" t="s">
        <v>46</v>
      </c>
      <c r="D40" s="62" t="s">
        <v>50</v>
      </c>
    </row>
    <row r="41" spans="1:4" ht="18" customHeight="1" x14ac:dyDescent="0.25">
      <c r="A41" s="54" t="s">
        <v>31</v>
      </c>
      <c r="B41" s="410">
        <v>1.38E-2</v>
      </c>
      <c r="C41" s="54" t="s">
        <v>46</v>
      </c>
      <c r="D41" s="63"/>
    </row>
    <row r="42" spans="1:4" x14ac:dyDescent="0.25">
      <c r="A42" s="337" t="s">
        <v>32</v>
      </c>
      <c r="B42" s="338"/>
      <c r="C42" s="338"/>
      <c r="D42" s="338"/>
    </row>
  </sheetData>
  <mergeCells count="4">
    <mergeCell ref="D27:D31"/>
    <mergeCell ref="A42:D42"/>
    <mergeCell ref="A2:D2"/>
    <mergeCell ref="D6:D26"/>
  </mergeCells>
  <hyperlinks>
    <hyperlink ref="D34" r:id="rId1" xr:uid="{00000000-0004-0000-0000-000000000000}"/>
    <hyperlink ref="D33" r:id="rId2" display="https://www.transportation.gov/office-policy/transportation-policy/revised-departmental-guidance-valuation-travel-time-economic, 2017, Table VM1" xr:uid="{82C7C874-FE3B-4FA9-B9C3-9EE9021403E5}"/>
  </hyperlinks>
  <pageMargins left="0.7" right="0.7" top="0.75" bottom="0.75" header="0.3" footer="0.3"/>
  <pageSetup scale="71"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5C72-371B-476B-B48D-37C88A75F158}">
  <dimension ref="B3:H37"/>
  <sheetViews>
    <sheetView topLeftCell="B3" workbookViewId="0">
      <selection activeCell="K37" sqref="K37"/>
    </sheetView>
  </sheetViews>
  <sheetFormatPr defaultRowHeight="15" x14ac:dyDescent="0.25"/>
  <cols>
    <col min="2" max="2" width="55.85546875" customWidth="1"/>
    <col min="3" max="3" width="17" customWidth="1"/>
    <col min="4" max="4" width="15.85546875" customWidth="1"/>
    <col min="6" max="6" width="14.140625" customWidth="1"/>
  </cols>
  <sheetData>
    <row r="3" spans="2:4" ht="104.45" customHeight="1" x14ac:dyDescent="0.25">
      <c r="B3" s="65" t="s">
        <v>139</v>
      </c>
    </row>
    <row r="4" spans="2:4" ht="15.75" x14ac:dyDescent="0.25">
      <c r="B4" s="44"/>
    </row>
    <row r="5" spans="2:4" ht="15.75" x14ac:dyDescent="0.25">
      <c r="B5" s="35" t="s">
        <v>51</v>
      </c>
    </row>
    <row r="6" spans="2:4" ht="15.75" x14ac:dyDescent="0.25">
      <c r="B6" s="34" t="s">
        <v>142</v>
      </c>
    </row>
    <row r="7" spans="2:4" x14ac:dyDescent="0.25">
      <c r="B7" s="36"/>
    </row>
    <row r="8" spans="2:4" ht="15.75" x14ac:dyDescent="0.25">
      <c r="B8" s="38"/>
    </row>
    <row r="9" spans="2:4" ht="18.75" thickBot="1" x14ac:dyDescent="0.3">
      <c r="B9" s="37" t="s">
        <v>62</v>
      </c>
    </row>
    <row r="10" spans="2:4" ht="32.25" thickBot="1" x14ac:dyDescent="0.3">
      <c r="B10" s="218" t="s">
        <v>61</v>
      </c>
      <c r="C10" s="219" t="s">
        <v>75</v>
      </c>
      <c r="D10" s="215" t="s">
        <v>58</v>
      </c>
    </row>
    <row r="11" spans="2:4" ht="20.100000000000001" customHeight="1" x14ac:dyDescent="0.25">
      <c r="B11" s="20" t="s">
        <v>52</v>
      </c>
      <c r="C11" s="33">
        <v>1</v>
      </c>
      <c r="D11" s="116">
        <f>(C11/C16)</f>
        <v>3.125E-2</v>
      </c>
    </row>
    <row r="12" spans="2:4" ht="16.5" customHeight="1" x14ac:dyDescent="0.25">
      <c r="B12" s="7" t="s">
        <v>53</v>
      </c>
      <c r="C12" s="32">
        <v>2</v>
      </c>
      <c r="D12" s="19">
        <f>(C12/C16)</f>
        <v>6.25E-2</v>
      </c>
    </row>
    <row r="13" spans="2:4" x14ac:dyDescent="0.25">
      <c r="B13" s="7" t="s">
        <v>54</v>
      </c>
      <c r="C13" s="32">
        <v>13</v>
      </c>
      <c r="D13" s="19">
        <f>(C13/C16)</f>
        <v>0.40625</v>
      </c>
    </row>
    <row r="14" spans="2:4" ht="16.5" customHeight="1" x14ac:dyDescent="0.25">
      <c r="B14" s="7" t="s">
        <v>55</v>
      </c>
      <c r="C14" s="32">
        <v>16</v>
      </c>
      <c r="D14" s="19">
        <f>(C14/C16)</f>
        <v>0.5</v>
      </c>
    </row>
    <row r="15" spans="2:4" x14ac:dyDescent="0.25">
      <c r="B15" s="7" t="s">
        <v>56</v>
      </c>
      <c r="C15" s="45">
        <f>SUM(C11:C14)-1</f>
        <v>31</v>
      </c>
      <c r="D15" s="116">
        <f>(C15/C16)</f>
        <v>0.96875</v>
      </c>
    </row>
    <row r="16" spans="2:4" x14ac:dyDescent="0.25">
      <c r="B16" s="7" t="s">
        <v>57</v>
      </c>
      <c r="C16" s="45">
        <f>C11+C12+C13+C14</f>
        <v>32</v>
      </c>
      <c r="D16" s="19">
        <f>SUM(D11:D14)</f>
        <v>1</v>
      </c>
    </row>
    <row r="17" spans="2:8" x14ac:dyDescent="0.25">
      <c r="B17" s="39"/>
      <c r="D17" s="275"/>
    </row>
    <row r="18" spans="2:8" ht="18.75" thickBot="1" x14ac:dyDescent="0.3">
      <c r="B18" s="40" t="s">
        <v>70</v>
      </c>
    </row>
    <row r="19" spans="2:8" ht="48" thickBot="1" x14ac:dyDescent="0.3">
      <c r="B19" s="218" t="s">
        <v>60</v>
      </c>
      <c r="C19" s="219" t="s">
        <v>59</v>
      </c>
      <c r="D19" s="215" t="s">
        <v>58</v>
      </c>
      <c r="E19" s="214" t="s">
        <v>63</v>
      </c>
      <c r="F19" s="216" t="s">
        <v>64</v>
      </c>
      <c r="G19" s="217" t="s">
        <v>65</v>
      </c>
    </row>
    <row r="20" spans="2:8" x14ac:dyDescent="0.25">
      <c r="B20" s="20" t="s">
        <v>52</v>
      </c>
      <c r="C20" s="33">
        <v>1</v>
      </c>
      <c r="D20" s="116">
        <f>(C20/C25)</f>
        <v>3.2258064516129031E-2</v>
      </c>
      <c r="E20" s="30">
        <f>C20/8</f>
        <v>0.125</v>
      </c>
      <c r="F20" s="67">
        <f>Assumptions!B9</f>
        <v>13700000</v>
      </c>
      <c r="G20" s="20">
        <v>0.52</v>
      </c>
    </row>
    <row r="21" spans="2:8" x14ac:dyDescent="0.25">
      <c r="B21" s="7" t="s">
        <v>53</v>
      </c>
      <c r="C21" s="32">
        <v>2</v>
      </c>
      <c r="D21" s="19">
        <f>(C21/C25)</f>
        <v>6.4516129032258063E-2</v>
      </c>
      <c r="E21" s="30">
        <f t="shared" ref="E21:E26" si="0">C21/9</f>
        <v>0.22222222222222221</v>
      </c>
      <c r="F21" s="50">
        <f>Assumptions!B10</f>
        <v>1302300</v>
      </c>
      <c r="G21" s="20">
        <v>0.52</v>
      </c>
    </row>
    <row r="22" spans="2:8" x14ac:dyDescent="0.25">
      <c r="B22" s="7" t="s">
        <v>54</v>
      </c>
      <c r="C22" s="32">
        <v>13</v>
      </c>
      <c r="D22" s="19">
        <f>(C22/C25)</f>
        <v>0.41935483870967744</v>
      </c>
      <c r="E22" s="30">
        <f t="shared" si="0"/>
        <v>1.4444444444444444</v>
      </c>
      <c r="F22" s="8">
        <f>Assumptions!B11</f>
        <v>256300</v>
      </c>
      <c r="G22" s="20">
        <v>0.52</v>
      </c>
    </row>
    <row r="23" spans="2:8" x14ac:dyDescent="0.25">
      <c r="B23" s="7" t="s">
        <v>55</v>
      </c>
      <c r="C23" s="32">
        <v>16</v>
      </c>
      <c r="D23" s="19">
        <f>(C23/C25)</f>
        <v>0.5161290322580645</v>
      </c>
      <c r="E23" s="30">
        <f t="shared" si="0"/>
        <v>1.7777777777777777</v>
      </c>
      <c r="F23" s="50">
        <f>Assumptions!B12</f>
        <v>122400</v>
      </c>
      <c r="G23" s="20">
        <v>0.52</v>
      </c>
    </row>
    <row r="24" spans="2:8" x14ac:dyDescent="0.25">
      <c r="B24" s="7" t="s">
        <v>66</v>
      </c>
      <c r="C24" s="45">
        <f>SUM(C20:C23)-1</f>
        <v>31</v>
      </c>
      <c r="D24" s="116">
        <f>(C24/418)</f>
        <v>7.4162679425837319E-2</v>
      </c>
      <c r="E24" s="30">
        <f t="shared" si="0"/>
        <v>3.4444444444444446</v>
      </c>
      <c r="F24" s="117">
        <f>Assumptions!B13</f>
        <v>5500</v>
      </c>
      <c r="G24" s="20">
        <v>0.52</v>
      </c>
    </row>
    <row r="25" spans="2:8" x14ac:dyDescent="0.25">
      <c r="B25" s="7" t="s">
        <v>56</v>
      </c>
      <c r="C25" s="45">
        <v>31</v>
      </c>
      <c r="D25" s="116">
        <f>133/418</f>
        <v>0.31818181818181818</v>
      </c>
      <c r="E25" s="30">
        <f t="shared" si="0"/>
        <v>3.4444444444444446</v>
      </c>
      <c r="F25" s="16"/>
    </row>
    <row r="26" spans="2:8" x14ac:dyDescent="0.25">
      <c r="B26" s="7" t="s">
        <v>57</v>
      </c>
      <c r="C26" s="45">
        <v>32</v>
      </c>
      <c r="D26" s="116">
        <f>133/418</f>
        <v>0.31818181818181818</v>
      </c>
      <c r="E26" s="30">
        <f t="shared" si="0"/>
        <v>3.5555555555555554</v>
      </c>
      <c r="F26" s="16"/>
    </row>
    <row r="27" spans="2:8" x14ac:dyDescent="0.25">
      <c r="B27" s="42"/>
    </row>
    <row r="28" spans="2:8" ht="15.75" thickBot="1" x14ac:dyDescent="0.3">
      <c r="B28" s="36"/>
    </row>
    <row r="29" spans="2:8" ht="48" thickBot="1" x14ac:dyDescent="0.3">
      <c r="B29" s="213" t="s">
        <v>71</v>
      </c>
      <c r="C29" s="214" t="s">
        <v>59</v>
      </c>
      <c r="D29" s="215" t="s">
        <v>58</v>
      </c>
      <c r="E29" s="214" t="s">
        <v>63</v>
      </c>
      <c r="F29" s="216" t="s">
        <v>64</v>
      </c>
      <c r="G29" s="217" t="s">
        <v>65</v>
      </c>
    </row>
    <row r="30" spans="2:8" x14ac:dyDescent="0.25">
      <c r="B30" s="20" t="s">
        <v>52</v>
      </c>
      <c r="C30" s="33">
        <v>1</v>
      </c>
      <c r="D30" s="116">
        <f>(C30/116)</f>
        <v>8.6206896551724137E-3</v>
      </c>
      <c r="E30" s="30">
        <f>C30/9</f>
        <v>0.1111111111111111</v>
      </c>
      <c r="F30" s="67">
        <v>13200000</v>
      </c>
      <c r="G30" s="20">
        <v>0.52</v>
      </c>
      <c r="H30" s="212">
        <f t="shared" ref="H30:H35" si="1">E30*(1-0.52)</f>
        <v>5.333333333333333E-2</v>
      </c>
    </row>
    <row r="31" spans="2:8" x14ac:dyDescent="0.25">
      <c r="B31" s="20" t="s">
        <v>53</v>
      </c>
      <c r="C31" s="32">
        <v>2</v>
      </c>
      <c r="D31" s="116">
        <f>(C31/116)</f>
        <v>1.7241379310344827E-2</v>
      </c>
      <c r="E31" s="30">
        <f>C31/9</f>
        <v>0.22222222222222221</v>
      </c>
      <c r="F31" s="50">
        <v>1254700</v>
      </c>
      <c r="G31" s="20">
        <v>0.52</v>
      </c>
      <c r="H31" s="212">
        <f t="shared" si="1"/>
        <v>0.10666666666666666</v>
      </c>
    </row>
    <row r="32" spans="2:8" x14ac:dyDescent="0.25">
      <c r="B32" s="7" t="s">
        <v>54</v>
      </c>
      <c r="C32" s="32">
        <v>13</v>
      </c>
      <c r="D32" s="116">
        <f>(C32/116)</f>
        <v>0.11206896551724138</v>
      </c>
      <c r="E32" s="30">
        <f>C32/9</f>
        <v>1.4444444444444444</v>
      </c>
      <c r="F32" s="8">
        <v>246900</v>
      </c>
      <c r="G32" s="20">
        <v>0.52</v>
      </c>
      <c r="H32" s="212">
        <f t="shared" si="1"/>
        <v>0.69333333333333325</v>
      </c>
    </row>
    <row r="33" spans="2:8" x14ac:dyDescent="0.25">
      <c r="B33" s="7" t="s">
        <v>55</v>
      </c>
      <c r="C33" s="32">
        <v>16</v>
      </c>
      <c r="D33" s="116">
        <f>(C33/116)</f>
        <v>0.13793103448275862</v>
      </c>
      <c r="E33" s="30">
        <f>C33/9</f>
        <v>1.7777777777777777</v>
      </c>
      <c r="F33" s="50">
        <v>118000</v>
      </c>
      <c r="G33" s="20">
        <v>0.52</v>
      </c>
      <c r="H33" s="212">
        <f t="shared" si="1"/>
        <v>0.85333333333333328</v>
      </c>
    </row>
    <row r="34" spans="2:8" x14ac:dyDescent="0.25">
      <c r="B34" s="7" t="s">
        <v>66</v>
      </c>
      <c r="C34" s="49">
        <v>84</v>
      </c>
      <c r="D34" s="116">
        <f>(C35/116)</f>
        <v>0.72413793103448276</v>
      </c>
      <c r="E34" s="30">
        <f>C34/9</f>
        <v>9.3333333333333339</v>
      </c>
      <c r="F34" s="8">
        <v>5300</v>
      </c>
      <c r="G34" s="20">
        <v>0.52</v>
      </c>
      <c r="H34" s="212">
        <f t="shared" si="1"/>
        <v>4.4800000000000004</v>
      </c>
    </row>
    <row r="35" spans="2:8" x14ac:dyDescent="0.25">
      <c r="B35" s="7" t="s">
        <v>1</v>
      </c>
      <c r="C35" s="68">
        <v>84</v>
      </c>
      <c r="D35" s="116">
        <f>(C35/116)</f>
        <v>0.72413793103448276</v>
      </c>
      <c r="E35" s="3">
        <f>E34</f>
        <v>9.3333333333333339</v>
      </c>
      <c r="F35" s="50">
        <f>Assumptions!B15</f>
        <v>9700</v>
      </c>
      <c r="G35" s="20">
        <v>0.52</v>
      </c>
      <c r="H35" s="212">
        <f t="shared" si="1"/>
        <v>4.4800000000000004</v>
      </c>
    </row>
    <row r="36" spans="2:8" x14ac:dyDescent="0.25">
      <c r="C36" s="45"/>
    </row>
    <row r="37" spans="2:8" ht="89.25" x14ac:dyDescent="0.25">
      <c r="B37" s="49" t="s">
        <v>144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2:J35"/>
  <sheetViews>
    <sheetView topLeftCell="A5" zoomScale="77" zoomScaleNormal="77" workbookViewId="0">
      <selection activeCell="P25" sqref="P25"/>
    </sheetView>
  </sheetViews>
  <sheetFormatPr defaultRowHeight="15" x14ac:dyDescent="0.25"/>
  <cols>
    <col min="2" max="2" width="12.28515625" customWidth="1"/>
    <col min="3" max="3" width="13" customWidth="1"/>
    <col min="4" max="4" width="18.42578125" customWidth="1"/>
    <col min="5" max="5" width="16.42578125" customWidth="1"/>
    <col min="6" max="6" width="16.7109375" customWidth="1"/>
    <col min="7" max="7" width="19.5703125" customWidth="1"/>
    <col min="8" max="8" width="15.28515625" customWidth="1"/>
    <col min="9" max="9" width="14.7109375" customWidth="1"/>
    <col min="10" max="10" width="25.42578125" customWidth="1"/>
  </cols>
  <sheetData>
    <row r="2" spans="3:10" ht="15.75" thickBot="1" x14ac:dyDescent="0.3"/>
    <row r="3" spans="3:10" ht="21.75" thickBot="1" x14ac:dyDescent="0.4">
      <c r="C3" s="210" t="s">
        <v>143</v>
      </c>
      <c r="D3" s="211"/>
      <c r="E3" s="191"/>
      <c r="F3" s="192"/>
    </row>
    <row r="4" spans="3:10" ht="204.95" customHeight="1" x14ac:dyDescent="0.25">
      <c r="C4" s="207" t="s">
        <v>0</v>
      </c>
      <c r="D4" s="207" t="s">
        <v>140</v>
      </c>
      <c r="E4" s="207" t="s">
        <v>98</v>
      </c>
      <c r="F4" s="207" t="s">
        <v>99</v>
      </c>
      <c r="G4" s="208" t="s">
        <v>100</v>
      </c>
      <c r="H4" s="208" t="s">
        <v>101</v>
      </c>
      <c r="I4" s="208" t="s">
        <v>102</v>
      </c>
      <c r="J4" s="208" t="s">
        <v>72</v>
      </c>
    </row>
    <row r="5" spans="3:10" ht="15.75" x14ac:dyDescent="0.25">
      <c r="C5" s="9">
        <v>2029</v>
      </c>
      <c r="D5" s="11">
        <f>'Stillman Acc Ana'!H30*Assumptions!B9*(1+0.0138)^3</f>
        <v>761335.63139127463</v>
      </c>
      <c r="E5" s="11">
        <f>'Stillman Acc Ana'!H31*Assumptions!B10*(1+0.0138)^3</f>
        <v>144742.68507457766</v>
      </c>
      <c r="F5" s="11">
        <f>'Stillman Acc Ana'!H32*Assumptions!B11*(1+0.0138)^3</f>
        <v>185160.15987099183</v>
      </c>
      <c r="G5" s="11">
        <f>'Stillman Acc Ana'!H33*Assumptions!B12*(1+0.0138)^3</f>
        <v>108832.09492822427</v>
      </c>
      <c r="H5" s="11">
        <f>'Stillman Acc Ana'!H34*Assumptions!B13*(1+0.0138)^3</f>
        <v>25674.238080494084</v>
      </c>
      <c r="I5" s="11">
        <f>'Stillman Acc Ana'!H35*Assumptions!B15*(1+0.0138)^3</f>
        <v>45280.019887416842</v>
      </c>
      <c r="J5" s="8">
        <f t="shared" ref="J5:J34" si="0">SUM(D5:I5)</f>
        <v>1271024.8292329796</v>
      </c>
    </row>
    <row r="6" spans="3:10" ht="15.75" x14ac:dyDescent="0.25">
      <c r="C6" s="9">
        <f>(C5+1)</f>
        <v>2030</v>
      </c>
      <c r="D6" s="11">
        <f t="shared" ref="D6:I6" si="1">D5*0.0138+D5</f>
        <v>771842.06310447422</v>
      </c>
      <c r="E6" s="11">
        <f t="shared" si="1"/>
        <v>146740.13412860682</v>
      </c>
      <c r="F6" s="11">
        <f t="shared" si="1"/>
        <v>187715.37007721153</v>
      </c>
      <c r="G6" s="11">
        <f t="shared" si="1"/>
        <v>110333.97783823375</v>
      </c>
      <c r="H6" s="11">
        <f t="shared" si="1"/>
        <v>26028.542566004904</v>
      </c>
      <c r="I6" s="11">
        <f t="shared" si="1"/>
        <v>45904.884161863192</v>
      </c>
      <c r="J6" s="8">
        <f t="shared" si="0"/>
        <v>1288564.9718763947</v>
      </c>
    </row>
    <row r="7" spans="3:10" ht="15.75" x14ac:dyDescent="0.25">
      <c r="C7" s="9">
        <f t="shared" ref="C7:C34" si="2">(C6+1)</f>
        <v>2031</v>
      </c>
      <c r="D7" s="11">
        <f t="shared" ref="D7:D34" si="3">D6*0.0138+D6</f>
        <v>782493.48357531591</v>
      </c>
      <c r="E7" s="11">
        <f t="shared" ref="E7:G34" si="4">E6*0.0138+E6</f>
        <v>148765.14797958158</v>
      </c>
      <c r="F7" s="11">
        <f t="shared" si="4"/>
        <v>190305.84218427705</v>
      </c>
      <c r="G7" s="11">
        <f t="shared" si="4"/>
        <v>111856.58673240138</v>
      </c>
      <c r="H7" s="11">
        <f t="shared" ref="H7:H34" si="5">H6*0.0138+H6</f>
        <v>26387.736453415771</v>
      </c>
      <c r="I7" s="11">
        <f t="shared" ref="I7:I34" si="6">I6*0.0138+I6</f>
        <v>46538.371563296903</v>
      </c>
      <c r="J7" s="8">
        <f t="shared" si="0"/>
        <v>1306347.1684882888</v>
      </c>
    </row>
    <row r="8" spans="3:10" ht="15.75" x14ac:dyDescent="0.25">
      <c r="C8" s="9">
        <f t="shared" si="2"/>
        <v>2032</v>
      </c>
      <c r="D8" s="11">
        <f t="shared" si="3"/>
        <v>793291.89364865527</v>
      </c>
      <c r="E8" s="11">
        <f t="shared" si="4"/>
        <v>150818.10702169981</v>
      </c>
      <c r="F8" s="11">
        <f t="shared" si="4"/>
        <v>192932.06280642006</v>
      </c>
      <c r="G8" s="11">
        <f t="shared" si="4"/>
        <v>113400.20762930853</v>
      </c>
      <c r="H8" s="11">
        <f t="shared" si="5"/>
        <v>26751.887216472907</v>
      </c>
      <c r="I8" s="11">
        <f t="shared" si="6"/>
        <v>47180.601090870397</v>
      </c>
      <c r="J8" s="8">
        <f t="shared" si="0"/>
        <v>1324374.759413427</v>
      </c>
    </row>
    <row r="9" spans="3:10" ht="15.75" x14ac:dyDescent="0.25">
      <c r="C9" s="9">
        <f t="shared" si="2"/>
        <v>2033</v>
      </c>
      <c r="D9" s="11">
        <f t="shared" si="3"/>
        <v>804239.32178100676</v>
      </c>
      <c r="E9" s="11">
        <f t="shared" si="4"/>
        <v>152899.39689859925</v>
      </c>
      <c r="F9" s="11">
        <f t="shared" si="4"/>
        <v>195594.52527314864</v>
      </c>
      <c r="G9" s="11">
        <f t="shared" si="4"/>
        <v>114965.13049459299</v>
      </c>
      <c r="H9" s="11">
        <f t="shared" si="5"/>
        <v>27121.063260060233</v>
      </c>
      <c r="I9" s="11">
        <f t="shared" si="6"/>
        <v>47831.693385924409</v>
      </c>
      <c r="J9" s="8">
        <f t="shared" si="0"/>
        <v>1342651.1310933323</v>
      </c>
    </row>
    <row r="10" spans="3:10" ht="15.75" x14ac:dyDescent="0.25">
      <c r="C10" s="9">
        <f t="shared" si="2"/>
        <v>2034</v>
      </c>
      <c r="D10" s="11">
        <f t="shared" si="3"/>
        <v>815337.82442158461</v>
      </c>
      <c r="E10" s="11">
        <f t="shared" si="4"/>
        <v>155009.40857579993</v>
      </c>
      <c r="F10" s="11">
        <f t="shared" si="4"/>
        <v>198293.72972191809</v>
      </c>
      <c r="G10" s="11">
        <f t="shared" si="4"/>
        <v>116551.64929541838</v>
      </c>
      <c r="H10" s="11">
        <f t="shared" si="5"/>
        <v>27495.333933049063</v>
      </c>
      <c r="I10" s="11">
        <f t="shared" si="6"/>
        <v>48491.770754650162</v>
      </c>
      <c r="J10" s="8">
        <f t="shared" si="0"/>
        <v>1361179.7167024203</v>
      </c>
    </row>
    <row r="11" spans="3:10" ht="15.75" x14ac:dyDescent="0.25">
      <c r="C11" s="9">
        <f t="shared" si="2"/>
        <v>2035</v>
      </c>
      <c r="D11" s="11">
        <f t="shared" si="3"/>
        <v>826589.48639860249</v>
      </c>
      <c r="E11" s="11">
        <f t="shared" si="4"/>
        <v>157148.53841414597</v>
      </c>
      <c r="F11" s="11">
        <f t="shared" si="4"/>
        <v>201030.18319208056</v>
      </c>
      <c r="G11" s="11">
        <f t="shared" si="4"/>
        <v>118160.06205569515</v>
      </c>
      <c r="H11" s="11">
        <f t="shared" si="5"/>
        <v>27874.769541325142</v>
      </c>
      <c r="I11" s="11">
        <f t="shared" si="6"/>
        <v>49160.957191064335</v>
      </c>
      <c r="J11" s="8">
        <f t="shared" si="0"/>
        <v>1379963.9967929134</v>
      </c>
    </row>
    <row r="12" spans="3:10" ht="15.75" x14ac:dyDescent="0.25">
      <c r="C12" s="9">
        <f t="shared" si="2"/>
        <v>2036</v>
      </c>
      <c r="D12" s="11">
        <f t="shared" si="3"/>
        <v>837996.42131090316</v>
      </c>
      <c r="E12" s="11">
        <f t="shared" si="4"/>
        <v>159317.18824426117</v>
      </c>
      <c r="F12" s="11">
        <f t="shared" si="4"/>
        <v>203804.39972013127</v>
      </c>
      <c r="G12" s="11">
        <f t="shared" si="4"/>
        <v>119790.67091206374</v>
      </c>
      <c r="H12" s="11">
        <f t="shared" si="5"/>
        <v>28259.441360995428</v>
      </c>
      <c r="I12" s="11">
        <f t="shared" si="6"/>
        <v>49839.378400301022</v>
      </c>
      <c r="J12" s="8">
        <f t="shared" si="0"/>
        <v>1399007.4999486557</v>
      </c>
    </row>
    <row r="13" spans="3:10" ht="15.75" x14ac:dyDescent="0.25">
      <c r="C13" s="9">
        <f t="shared" si="2"/>
        <v>2037</v>
      </c>
      <c r="D13" s="11">
        <f t="shared" si="3"/>
        <v>849560.77192499361</v>
      </c>
      <c r="E13" s="11">
        <f t="shared" si="4"/>
        <v>161515.76544203196</v>
      </c>
      <c r="F13" s="11">
        <f t="shared" si="4"/>
        <v>206616.90043626909</v>
      </c>
      <c r="G13" s="11">
        <f t="shared" si="4"/>
        <v>121443.78217065021</v>
      </c>
      <c r="H13" s="11">
        <f t="shared" si="5"/>
        <v>28649.421651777164</v>
      </c>
      <c r="I13" s="11">
        <f t="shared" si="6"/>
        <v>50527.161822225178</v>
      </c>
      <c r="J13" s="8">
        <f t="shared" si="0"/>
        <v>1418313.8034479474</v>
      </c>
    </row>
    <row r="14" spans="3:10" ht="15.75" x14ac:dyDescent="0.25">
      <c r="C14" s="9">
        <f t="shared" si="2"/>
        <v>2038</v>
      </c>
      <c r="D14" s="11">
        <f t="shared" si="3"/>
        <v>861284.71057755849</v>
      </c>
      <c r="E14" s="11">
        <f t="shared" si="4"/>
        <v>163744.68300513201</v>
      </c>
      <c r="F14" s="11">
        <f t="shared" si="4"/>
        <v>209468.21366228961</v>
      </c>
      <c r="G14" s="11">
        <f t="shared" si="4"/>
        <v>123119.70636460518</v>
      </c>
      <c r="H14" s="11">
        <f t="shared" si="5"/>
        <v>29044.783670571687</v>
      </c>
      <c r="I14" s="11">
        <f t="shared" si="6"/>
        <v>51224.436655371886</v>
      </c>
      <c r="J14" s="8">
        <f t="shared" si="0"/>
        <v>1437886.5339355287</v>
      </c>
    </row>
    <row r="15" spans="3:10" ht="15.75" x14ac:dyDescent="0.25">
      <c r="C15" s="9">
        <f t="shared" si="2"/>
        <v>2039</v>
      </c>
      <c r="D15" s="11">
        <f t="shared" si="3"/>
        <v>873170.43958352879</v>
      </c>
      <c r="E15" s="11">
        <f t="shared" si="4"/>
        <v>166004.35963060285</v>
      </c>
      <c r="F15" s="11">
        <f t="shared" si="4"/>
        <v>212358.87501082922</v>
      </c>
      <c r="G15" s="11">
        <f t="shared" si="4"/>
        <v>124818.75831243674</v>
      </c>
      <c r="H15" s="11">
        <f t="shared" si="5"/>
        <v>29445.601685225578</v>
      </c>
      <c r="I15" s="11">
        <f t="shared" si="6"/>
        <v>51931.333881216022</v>
      </c>
      <c r="J15" s="8">
        <f t="shared" si="0"/>
        <v>1457729.3681038392</v>
      </c>
    </row>
    <row r="16" spans="3:10" ht="15.75" x14ac:dyDescent="0.25">
      <c r="C16" s="9">
        <f t="shared" si="2"/>
        <v>2040</v>
      </c>
      <c r="D16" s="11">
        <f t="shared" si="3"/>
        <v>885220.19164978154</v>
      </c>
      <c r="E16" s="11">
        <f t="shared" si="4"/>
        <v>168295.21979350518</v>
      </c>
      <c r="F16" s="11">
        <f t="shared" si="4"/>
        <v>215289.42748597867</v>
      </c>
      <c r="G16" s="11">
        <f t="shared" si="4"/>
        <v>126541.25717714836</v>
      </c>
      <c r="H16" s="11">
        <f t="shared" si="5"/>
        <v>29851.950988481691</v>
      </c>
      <c r="I16" s="11">
        <f t="shared" si="6"/>
        <v>52647.986288776803</v>
      </c>
      <c r="J16" s="8">
        <f t="shared" si="0"/>
        <v>1477846.0333836724</v>
      </c>
    </row>
    <row r="17" spans="3:10" ht="15.75" x14ac:dyDescent="0.25">
      <c r="C17" s="9">
        <f t="shared" si="2"/>
        <v>2041</v>
      </c>
      <c r="D17" s="11">
        <f t="shared" si="3"/>
        <v>897436.23029454856</v>
      </c>
      <c r="E17" s="11">
        <f t="shared" si="4"/>
        <v>170617.69382665557</v>
      </c>
      <c r="F17" s="11">
        <f t="shared" si="4"/>
        <v>218260.42158528516</v>
      </c>
      <c r="G17" s="11">
        <f t="shared" si="4"/>
        <v>128287.52652619302</v>
      </c>
      <c r="H17" s="11">
        <f t="shared" si="5"/>
        <v>30263.907912122737</v>
      </c>
      <c r="I17" s="11">
        <f t="shared" si="6"/>
        <v>53374.528499561922</v>
      </c>
      <c r="J17" s="8">
        <f t="shared" si="0"/>
        <v>1498240.3086443667</v>
      </c>
    </row>
    <row r="18" spans="3:10" ht="15.75" x14ac:dyDescent="0.25">
      <c r="C18" s="9">
        <f t="shared" si="2"/>
        <v>2042</v>
      </c>
      <c r="D18" s="11">
        <f t="shared" si="3"/>
        <v>909820.85027261334</v>
      </c>
      <c r="E18" s="11">
        <f t="shared" si="4"/>
        <v>172972.21800146342</v>
      </c>
      <c r="F18" s="11">
        <f t="shared" si="4"/>
        <v>221272.4154031621</v>
      </c>
      <c r="G18" s="11">
        <f t="shared" si="4"/>
        <v>130057.89439225449</v>
      </c>
      <c r="H18" s="11">
        <f t="shared" si="5"/>
        <v>30681.549841310032</v>
      </c>
      <c r="I18" s="11">
        <f t="shared" si="6"/>
        <v>54111.096992855877</v>
      </c>
      <c r="J18" s="8">
        <f t="shared" si="0"/>
        <v>1518916.0249036595</v>
      </c>
    </row>
    <row r="19" spans="3:10" ht="15.75" x14ac:dyDescent="0.25">
      <c r="C19" s="9">
        <f t="shared" si="2"/>
        <v>2043</v>
      </c>
      <c r="D19" s="11">
        <f t="shared" si="3"/>
        <v>922376.37800637539</v>
      </c>
      <c r="E19" s="11">
        <f t="shared" si="4"/>
        <v>175359.23460988363</v>
      </c>
      <c r="F19" s="11">
        <f t="shared" si="4"/>
        <v>224325.97473572573</v>
      </c>
      <c r="G19" s="11">
        <f t="shared" si="4"/>
        <v>131852.6933348676</v>
      </c>
      <c r="H19" s="11">
        <f t="shared" si="5"/>
        <v>31104.955229120111</v>
      </c>
      <c r="I19" s="11">
        <f t="shared" si="6"/>
        <v>54857.830131357288</v>
      </c>
      <c r="J19" s="8">
        <f t="shared" si="0"/>
        <v>1539877.0660473299</v>
      </c>
    </row>
    <row r="20" spans="3:10" ht="15.75" x14ac:dyDescent="0.25">
      <c r="C20" s="9">
        <f t="shared" si="2"/>
        <v>2044</v>
      </c>
      <c r="D20" s="11">
        <f t="shared" si="3"/>
        <v>935105.17202286341</v>
      </c>
      <c r="E20" s="11">
        <f t="shared" si="4"/>
        <v>177779.19204750002</v>
      </c>
      <c r="F20" s="11">
        <f t="shared" si="4"/>
        <v>227421.67318707873</v>
      </c>
      <c r="G20" s="11">
        <f t="shared" si="4"/>
        <v>133672.26050288876</v>
      </c>
      <c r="H20" s="11">
        <f t="shared" si="5"/>
        <v>31534.20361128197</v>
      </c>
      <c r="I20" s="11">
        <f t="shared" si="6"/>
        <v>55614.868187170017</v>
      </c>
      <c r="J20" s="8">
        <f t="shared" si="0"/>
        <v>1561127.3695587828</v>
      </c>
    </row>
    <row r="21" spans="3:10" ht="15.75" x14ac:dyDescent="0.25">
      <c r="C21" s="9">
        <f t="shared" si="2"/>
        <v>2045</v>
      </c>
      <c r="D21" s="11">
        <f t="shared" si="3"/>
        <v>948009.62339677894</v>
      </c>
      <c r="E21" s="11">
        <f t="shared" si="4"/>
        <v>180232.54489775552</v>
      </c>
      <c r="F21" s="11">
        <f t="shared" si="4"/>
        <v>230560.09227706041</v>
      </c>
      <c r="G21" s="11">
        <f t="shared" si="4"/>
        <v>135516.93769782863</v>
      </c>
      <c r="H21" s="11">
        <f t="shared" si="5"/>
        <v>31969.375621117662</v>
      </c>
      <c r="I21" s="11">
        <f t="shared" si="6"/>
        <v>56382.353368152966</v>
      </c>
      <c r="J21" s="8">
        <f t="shared" si="0"/>
        <v>1582670.9272586941</v>
      </c>
    </row>
    <row r="22" spans="3:10" ht="15.75" x14ac:dyDescent="0.25">
      <c r="C22" s="9">
        <f t="shared" si="2"/>
        <v>2046</v>
      </c>
      <c r="D22" s="11">
        <f t="shared" si="3"/>
        <v>961092.15619965445</v>
      </c>
      <c r="E22" s="11">
        <f t="shared" si="4"/>
        <v>182719.75401734456</v>
      </c>
      <c r="F22" s="11">
        <f t="shared" si="4"/>
        <v>233741.82155048384</v>
      </c>
      <c r="G22" s="11">
        <f t="shared" si="4"/>
        <v>137387.07143805866</v>
      </c>
      <c r="H22" s="11">
        <f t="shared" si="5"/>
        <v>32410.553004689085</v>
      </c>
      <c r="I22" s="11">
        <f t="shared" si="6"/>
        <v>57160.42984463348</v>
      </c>
      <c r="J22" s="8">
        <f t="shared" si="0"/>
        <v>1604511.7860548641</v>
      </c>
    </row>
    <row r="23" spans="3:10" ht="15.75" x14ac:dyDescent="0.25">
      <c r="C23" s="9">
        <f t="shared" si="2"/>
        <v>2047</v>
      </c>
      <c r="D23" s="11">
        <f t="shared" si="3"/>
        <v>974355.22795520967</v>
      </c>
      <c r="E23" s="11">
        <f t="shared" si="4"/>
        <v>185241.28662278393</v>
      </c>
      <c r="F23" s="11">
        <f t="shared" si="4"/>
        <v>236967.45868788051</v>
      </c>
      <c r="G23" s="11">
        <f t="shared" si="4"/>
        <v>139283.01302390386</v>
      </c>
      <c r="H23" s="11">
        <f t="shared" si="5"/>
        <v>32857.818636153796</v>
      </c>
      <c r="I23" s="11">
        <f t="shared" si="6"/>
        <v>57949.24377648942</v>
      </c>
      <c r="J23" s="8">
        <f t="shared" si="0"/>
        <v>1626654.0487024214</v>
      </c>
    </row>
    <row r="24" spans="3:10" ht="15.75" x14ac:dyDescent="0.25">
      <c r="C24" s="9">
        <f t="shared" si="2"/>
        <v>2048</v>
      </c>
      <c r="D24" s="11">
        <f t="shared" si="3"/>
        <v>987801.33010099153</v>
      </c>
      <c r="E24" s="11">
        <f t="shared" si="4"/>
        <v>187797.61637817835</v>
      </c>
      <c r="F24" s="11">
        <f t="shared" si="4"/>
        <v>240237.60961777327</v>
      </c>
      <c r="G24" s="11">
        <f t="shared" si="4"/>
        <v>141205.11860363372</v>
      </c>
      <c r="H24" s="11">
        <f t="shared" si="5"/>
        <v>33311.256533332715</v>
      </c>
      <c r="I24" s="11">
        <f t="shared" si="6"/>
        <v>58748.943340604972</v>
      </c>
      <c r="J24" s="8">
        <f t="shared" si="0"/>
        <v>1649101.8745745143</v>
      </c>
    </row>
    <row r="25" spans="3:10" ht="15.75" x14ac:dyDescent="0.25">
      <c r="C25" s="9">
        <f t="shared" si="2"/>
        <v>2049</v>
      </c>
      <c r="D25" s="11">
        <f t="shared" si="3"/>
        <v>1001432.9884563852</v>
      </c>
      <c r="E25" s="11">
        <f t="shared" si="4"/>
        <v>190389.22348419722</v>
      </c>
      <c r="F25" s="11">
        <f t="shared" si="4"/>
        <v>243552.88863049855</v>
      </c>
      <c r="G25" s="11">
        <f t="shared" si="4"/>
        <v>143153.74924036386</v>
      </c>
      <c r="H25" s="11">
        <f t="shared" si="5"/>
        <v>33770.951873492704</v>
      </c>
      <c r="I25" s="11">
        <f t="shared" si="6"/>
        <v>59559.678758705319</v>
      </c>
      <c r="J25" s="8">
        <f t="shared" si="0"/>
        <v>1671859.4804436429</v>
      </c>
    </row>
    <row r="26" spans="3:10" ht="15.75" x14ac:dyDescent="0.25">
      <c r="C26" s="9">
        <f t="shared" si="2"/>
        <v>2050</v>
      </c>
      <c r="D26" s="11">
        <f t="shared" si="3"/>
        <v>1015252.7636970833</v>
      </c>
      <c r="E26" s="11">
        <f t="shared" si="4"/>
        <v>193016.59476827914</v>
      </c>
      <c r="F26" s="11">
        <f t="shared" si="4"/>
        <v>246913.91849359943</v>
      </c>
      <c r="G26" s="11">
        <f t="shared" si="4"/>
        <v>145129.27097988088</v>
      </c>
      <c r="H26" s="11">
        <f t="shared" si="5"/>
        <v>34236.991009346901</v>
      </c>
      <c r="I26" s="11">
        <f t="shared" si="6"/>
        <v>60381.602325575455</v>
      </c>
      <c r="J26" s="8">
        <f t="shared" si="0"/>
        <v>1694931.1412737651</v>
      </c>
    </row>
    <row r="27" spans="3:10" ht="15.75" x14ac:dyDescent="0.25">
      <c r="C27" s="9">
        <f t="shared" si="2"/>
        <v>2051</v>
      </c>
      <c r="D27" s="11">
        <f t="shared" si="3"/>
        <v>1029263.251836103</v>
      </c>
      <c r="E27" s="11">
        <f t="shared" si="4"/>
        <v>195680.2237760814</v>
      </c>
      <c r="F27" s="11">
        <f t="shared" si="4"/>
        <v>250321.3305688111</v>
      </c>
      <c r="G27" s="11">
        <f t="shared" si="4"/>
        <v>147132.05491940322</v>
      </c>
      <c r="H27" s="11">
        <f t="shared" si="5"/>
        <v>34709.46148527589</v>
      </c>
      <c r="I27" s="11">
        <f t="shared" si="6"/>
        <v>61214.868437668396</v>
      </c>
      <c r="J27" s="8">
        <f t="shared" si="0"/>
        <v>1718321.1910233432</v>
      </c>
    </row>
    <row r="28" spans="3:10" ht="15.75" x14ac:dyDescent="0.25">
      <c r="C28" s="9">
        <f t="shared" si="2"/>
        <v>2052</v>
      </c>
      <c r="D28" s="11">
        <f t="shared" si="3"/>
        <v>1043467.0847114413</v>
      </c>
      <c r="E28" s="11">
        <f t="shared" si="4"/>
        <v>198380.61086419132</v>
      </c>
      <c r="F28" s="11">
        <f t="shared" si="4"/>
        <v>253775.76493066069</v>
      </c>
      <c r="G28" s="11">
        <f t="shared" si="4"/>
        <v>149162.47727729098</v>
      </c>
      <c r="H28" s="11">
        <f t="shared" si="5"/>
        <v>35188.4520537727</v>
      </c>
      <c r="I28" s="11">
        <f t="shared" si="6"/>
        <v>62059.633622108217</v>
      </c>
      <c r="J28" s="8">
        <f t="shared" si="0"/>
        <v>1742034.0234594652</v>
      </c>
    </row>
    <row r="29" spans="3:10" ht="15.75" x14ac:dyDescent="0.25">
      <c r="C29" s="9">
        <f t="shared" si="2"/>
        <v>2053</v>
      </c>
      <c r="D29" s="11">
        <f t="shared" si="3"/>
        <v>1057866.9304804592</v>
      </c>
      <c r="E29" s="11">
        <f t="shared" si="4"/>
        <v>201118.26329411715</v>
      </c>
      <c r="F29" s="11">
        <f t="shared" si="4"/>
        <v>257277.87048670382</v>
      </c>
      <c r="G29" s="11">
        <f t="shared" si="4"/>
        <v>151220.91946371758</v>
      </c>
      <c r="H29" s="11">
        <f t="shared" si="5"/>
        <v>35674.052692114761</v>
      </c>
      <c r="I29" s="11">
        <f t="shared" si="6"/>
        <v>62916.056566093313</v>
      </c>
      <c r="J29" s="8">
        <f t="shared" si="0"/>
        <v>1766074.0929832058</v>
      </c>
    </row>
    <row r="30" spans="3:10" ht="15.75" x14ac:dyDescent="0.25">
      <c r="C30" s="9">
        <f t="shared" si="2"/>
        <v>2054</v>
      </c>
      <c r="D30" s="11">
        <f t="shared" si="3"/>
        <v>1072465.4941210896</v>
      </c>
      <c r="E30" s="11">
        <f t="shared" si="4"/>
        <v>203893.69532757596</v>
      </c>
      <c r="F30" s="11">
        <f t="shared" si="4"/>
        <v>260828.30509942034</v>
      </c>
      <c r="G30" s="11">
        <f t="shared" si="4"/>
        <v>153307.76815231689</v>
      </c>
      <c r="H30" s="11">
        <f t="shared" si="5"/>
        <v>36166.354619265941</v>
      </c>
      <c r="I30" s="11">
        <f t="shared" si="6"/>
        <v>63784.298146705398</v>
      </c>
      <c r="J30" s="8">
        <f t="shared" si="0"/>
        <v>1790445.915466374</v>
      </c>
    </row>
    <row r="31" spans="3:10" ht="15.75" x14ac:dyDescent="0.25">
      <c r="C31" s="9">
        <f t="shared" si="2"/>
        <v>2055</v>
      </c>
      <c r="D31" s="11">
        <f t="shared" si="3"/>
        <v>1087265.5179399606</v>
      </c>
      <c r="E31" s="11">
        <f t="shared" si="4"/>
        <v>206707.42832309651</v>
      </c>
      <c r="F31" s="11">
        <f t="shared" si="4"/>
        <v>264427.73570979235</v>
      </c>
      <c r="G31" s="11">
        <f t="shared" si="4"/>
        <v>155423.41535281885</v>
      </c>
      <c r="H31" s="11">
        <f t="shared" si="5"/>
        <v>36665.45031301181</v>
      </c>
      <c r="I31" s="11">
        <f t="shared" si="6"/>
        <v>64664.521461129931</v>
      </c>
      <c r="J31" s="8">
        <f t="shared" si="0"/>
        <v>1815154.0690998102</v>
      </c>
    </row>
    <row r="32" spans="3:10" ht="15.75" x14ac:dyDescent="0.25">
      <c r="C32" s="9">
        <f t="shared" si="2"/>
        <v>2056</v>
      </c>
      <c r="D32" s="11">
        <f t="shared" si="3"/>
        <v>1102269.7820875321</v>
      </c>
      <c r="E32" s="11">
        <f t="shared" si="4"/>
        <v>209559.99083395523</v>
      </c>
      <c r="F32" s="11">
        <f t="shared" si="4"/>
        <v>268076.8384625875</v>
      </c>
      <c r="G32" s="11">
        <f t="shared" si="4"/>
        <v>157568.25848468774</v>
      </c>
      <c r="H32" s="11">
        <f t="shared" si="5"/>
        <v>37171.43352733137</v>
      </c>
      <c r="I32" s="11">
        <f t="shared" si="6"/>
        <v>65556.891857293522</v>
      </c>
      <c r="J32" s="8">
        <f t="shared" si="0"/>
        <v>1840203.1952533871</v>
      </c>
    </row>
    <row r="33" spans="3:10" ht="15.75" x14ac:dyDescent="0.25">
      <c r="C33" s="9">
        <f t="shared" si="2"/>
        <v>2057</v>
      </c>
      <c r="D33" s="11">
        <f t="shared" si="3"/>
        <v>1117481.1050803401</v>
      </c>
      <c r="E33" s="11">
        <f t="shared" si="4"/>
        <v>212451.9187074638</v>
      </c>
      <c r="F33" s="11">
        <f t="shared" si="4"/>
        <v>271776.2988333712</v>
      </c>
      <c r="G33" s="11">
        <f t="shared" si="4"/>
        <v>159742.70045177644</v>
      </c>
      <c r="H33" s="11">
        <f t="shared" si="5"/>
        <v>37684.399310008543</v>
      </c>
      <c r="I33" s="11">
        <f t="shared" si="6"/>
        <v>66461.57696492417</v>
      </c>
      <c r="J33" s="8">
        <f t="shared" si="0"/>
        <v>1865597.9993478842</v>
      </c>
    </row>
    <row r="34" spans="3:10" ht="15.75" x14ac:dyDescent="0.25">
      <c r="C34" s="9">
        <f t="shared" si="2"/>
        <v>2058</v>
      </c>
      <c r="D34" s="11">
        <f t="shared" si="3"/>
        <v>1132902.3443304487</v>
      </c>
      <c r="E34" s="11">
        <f t="shared" si="4"/>
        <v>215383.7551856268</v>
      </c>
      <c r="F34" s="11">
        <f t="shared" si="4"/>
        <v>275526.8117572717</v>
      </c>
      <c r="G34" s="11">
        <f t="shared" si="4"/>
        <v>161947.14971801097</v>
      </c>
      <c r="H34" s="11">
        <f t="shared" si="5"/>
        <v>38204.444020486662</v>
      </c>
      <c r="I34" s="11">
        <f t="shared" si="6"/>
        <v>67378.746727040125</v>
      </c>
      <c r="J34" s="8">
        <f t="shared" si="0"/>
        <v>1891343.251738885</v>
      </c>
    </row>
    <row r="35" spans="3:10" ht="15.75" x14ac:dyDescent="0.25">
      <c r="C35" s="10" t="s">
        <v>0</v>
      </c>
      <c r="D35" s="118">
        <f>SUM(D5:D34)</f>
        <v>28058026.470357556</v>
      </c>
      <c r="E35" s="12">
        <f t="shared" ref="E35:J35" si="7">SUM(E5:E34)</f>
        <v>5334301.8791746944</v>
      </c>
      <c r="F35" s="12">
        <f t="shared" si="7"/>
        <v>6823834.9194587115</v>
      </c>
      <c r="G35" s="66">
        <f t="shared" si="7"/>
        <v>4010864.1634706752</v>
      </c>
      <c r="H35" s="12">
        <f t="shared" si="7"/>
        <v>946190.381701109</v>
      </c>
      <c r="I35" s="12">
        <f t="shared" si="7"/>
        <v>1668735.7640910468</v>
      </c>
      <c r="J35" s="209">
        <f t="shared" si="7"/>
        <v>46841953.578253798</v>
      </c>
    </row>
  </sheetData>
  <pageMargins left="0.7" right="0.7" top="0.75" bottom="0.75" header="0.3" footer="0.3"/>
  <pageSetup scale="72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BA5A-8B1D-43D2-A81F-A6FC22E47355}">
  <dimension ref="C3:G18"/>
  <sheetViews>
    <sheetView workbookViewId="0">
      <selection activeCell="J15" sqref="J15"/>
    </sheetView>
  </sheetViews>
  <sheetFormatPr defaultRowHeight="15" x14ac:dyDescent="0.25"/>
  <cols>
    <col min="3" max="3" width="21" customWidth="1"/>
    <col min="7" max="7" width="13.85546875" customWidth="1"/>
  </cols>
  <sheetData>
    <row r="3" spans="3:7" ht="18.75" x14ac:dyDescent="0.3">
      <c r="C3" s="333">
        <v>2639731</v>
      </c>
      <c r="D3" s="332"/>
    </row>
    <row r="4" spans="3:7" ht="18.75" x14ac:dyDescent="0.3">
      <c r="C4" s="333">
        <v>29093</v>
      </c>
      <c r="D4" s="332"/>
    </row>
    <row r="5" spans="3:7" ht="18.75" x14ac:dyDescent="0.3">
      <c r="C5" s="333">
        <v>71052</v>
      </c>
      <c r="D5" s="332"/>
    </row>
    <row r="6" spans="3:7" ht="18.75" x14ac:dyDescent="0.3">
      <c r="C6" s="333">
        <v>5033401</v>
      </c>
      <c r="D6" s="332"/>
    </row>
    <row r="7" spans="3:7" ht="18.75" x14ac:dyDescent="0.3">
      <c r="C7" s="333">
        <v>20399</v>
      </c>
      <c r="D7" s="332"/>
    </row>
    <row r="8" spans="3:7" ht="18.75" x14ac:dyDescent="0.3">
      <c r="C8" s="333">
        <v>208377</v>
      </c>
      <c r="D8" s="332"/>
    </row>
    <row r="9" spans="3:7" ht="18.75" x14ac:dyDescent="0.3">
      <c r="C9" s="333">
        <v>5401050</v>
      </c>
      <c r="D9" s="332"/>
    </row>
    <row r="10" spans="3:7" ht="18.75" x14ac:dyDescent="0.3">
      <c r="C10" s="333">
        <v>1634329</v>
      </c>
      <c r="D10" s="332"/>
      <c r="G10" s="333"/>
    </row>
    <row r="11" spans="3:7" ht="18.75" x14ac:dyDescent="0.3">
      <c r="C11" s="333">
        <v>2703401</v>
      </c>
      <c r="D11" s="332"/>
      <c r="G11" s="333"/>
    </row>
    <row r="12" spans="3:7" ht="18.75" x14ac:dyDescent="0.3">
      <c r="C12" s="333">
        <v>5136462</v>
      </c>
      <c r="D12" s="332"/>
      <c r="G12" s="333"/>
    </row>
    <row r="13" spans="3:7" ht="18.75" x14ac:dyDescent="0.3">
      <c r="C13" s="333">
        <v>6573566</v>
      </c>
      <c r="D13" s="332"/>
      <c r="G13" s="333"/>
    </row>
    <row r="14" spans="3:7" ht="18.75" x14ac:dyDescent="0.3">
      <c r="C14" s="333">
        <v>3866683</v>
      </c>
      <c r="D14" s="332"/>
      <c r="G14" s="333"/>
    </row>
    <row r="15" spans="3:7" ht="18.75" x14ac:dyDescent="0.3">
      <c r="C15" s="333">
        <v>911783</v>
      </c>
      <c r="D15" s="332"/>
      <c r="G15" s="333"/>
    </row>
    <row r="16" spans="3:7" ht="18.75" x14ac:dyDescent="0.3">
      <c r="C16" s="333">
        <v>12865106</v>
      </c>
      <c r="D16" s="332"/>
      <c r="G16" s="43"/>
    </row>
    <row r="17" spans="3:4" ht="18.75" x14ac:dyDescent="0.3">
      <c r="C17" s="333">
        <v>37852167</v>
      </c>
      <c r="D17" s="332"/>
    </row>
    <row r="18" spans="3:4" ht="18.75" x14ac:dyDescent="0.3">
      <c r="C18" s="333">
        <f>SUM(C3:C17)</f>
        <v>84946600</v>
      </c>
      <c r="D18" s="3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22A9-BEB3-4EA9-800A-6BDF7851B849}">
  <dimension ref="I1:Q3"/>
  <sheetViews>
    <sheetView topLeftCell="A5" workbookViewId="0">
      <selection activeCell="P74" sqref="P74"/>
    </sheetView>
  </sheetViews>
  <sheetFormatPr defaultRowHeight="15" x14ac:dyDescent="0.25"/>
  <sheetData>
    <row r="1" spans="9:17" ht="15.75" thickBot="1" x14ac:dyDescent="0.3"/>
    <row r="2" spans="9:17" ht="38.450000000000003" customHeight="1" x14ac:dyDescent="0.25">
      <c r="I2" s="361" t="s">
        <v>172</v>
      </c>
      <c r="J2" s="362"/>
      <c r="K2" s="362"/>
      <c r="L2" s="362"/>
      <c r="M2" s="362"/>
      <c r="N2" s="362"/>
      <c r="O2" s="362"/>
      <c r="P2" s="362"/>
      <c r="Q2" s="363"/>
    </row>
    <row r="3" spans="9:17" ht="15" customHeight="1" thickBot="1" x14ac:dyDescent="0.3">
      <c r="I3" s="364"/>
      <c r="J3" s="365"/>
      <c r="K3" s="365"/>
      <c r="L3" s="365"/>
      <c r="M3" s="365"/>
      <c r="N3" s="365"/>
      <c r="O3" s="365"/>
      <c r="P3" s="365"/>
      <c r="Q3" s="366"/>
    </row>
  </sheetData>
  <mergeCells count="1">
    <mergeCell ref="I2:Q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B597-89CA-42D8-812B-7099E7E0EC0E}">
  <dimension ref="A1"/>
  <sheetViews>
    <sheetView workbookViewId="0">
      <selection activeCell="W20" sqref="W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C1:AD51"/>
  <sheetViews>
    <sheetView tabSelected="1" topLeftCell="E1" zoomScale="87" zoomScaleNormal="87" workbookViewId="0">
      <selection activeCell="AB10" sqref="AB10"/>
    </sheetView>
  </sheetViews>
  <sheetFormatPr defaultRowHeight="15" x14ac:dyDescent="0.25"/>
  <cols>
    <col min="3" max="3" width="9.28515625" bestFit="1" customWidth="1"/>
    <col min="4" max="4" width="16.42578125" customWidth="1"/>
    <col min="5" max="5" width="16.7109375" customWidth="1"/>
    <col min="6" max="8" width="14.5703125" hidden="1" customWidth="1"/>
    <col min="9" max="9" width="17.140625" customWidth="1"/>
    <col min="10" max="10" width="16.7109375" customWidth="1"/>
    <col min="11" max="11" width="15.28515625" customWidth="1"/>
    <col min="12" max="12" width="18.28515625" customWidth="1"/>
    <col min="13" max="13" width="19.28515625" customWidth="1"/>
    <col min="14" max="14" width="24.140625" customWidth="1"/>
    <col min="15" max="15" width="19.140625" customWidth="1"/>
    <col min="16" max="16" width="15.5703125" customWidth="1"/>
    <col min="17" max="17" width="14.140625" customWidth="1"/>
    <col min="18" max="18" width="14.5703125" customWidth="1"/>
    <col min="19" max="19" width="13" customWidth="1"/>
    <col min="20" max="20" width="12.28515625" customWidth="1"/>
    <col min="21" max="21" width="13.28515625" customWidth="1"/>
    <col min="22" max="23" width="15.140625" customWidth="1"/>
    <col min="24" max="24" width="15.85546875" customWidth="1"/>
    <col min="25" max="25" width="7.5703125" hidden="1" customWidth="1"/>
    <col min="26" max="26" width="15.5703125" customWidth="1"/>
    <col min="30" max="30" width="15.140625" customWidth="1"/>
  </cols>
  <sheetData>
    <row r="1" spans="3:26" x14ac:dyDescent="0.25">
      <c r="L1" s="74">
        <f>O3+L23</f>
        <v>0</v>
      </c>
    </row>
    <row r="5" spans="3:26" ht="18.75" x14ac:dyDescent="0.3">
      <c r="C5" s="377" t="s">
        <v>189</v>
      </c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69"/>
      <c r="Z5" s="286"/>
    </row>
    <row r="6" spans="3:26" ht="15.75" thickBot="1" x14ac:dyDescent="0.3"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</row>
    <row r="7" spans="3:26" ht="28.5" customHeight="1" thickBot="1" x14ac:dyDescent="0.3">
      <c r="C7" s="379" t="s">
        <v>0</v>
      </c>
      <c r="D7" s="382" t="s">
        <v>3</v>
      </c>
      <c r="E7" s="383"/>
      <c r="F7" s="383"/>
      <c r="G7" s="383"/>
      <c r="H7" s="383"/>
      <c r="I7" s="383"/>
      <c r="J7" s="383"/>
      <c r="K7" s="383"/>
      <c r="L7" s="383"/>
      <c r="M7" s="189"/>
      <c r="N7" s="190"/>
      <c r="O7" s="384" t="s">
        <v>113</v>
      </c>
      <c r="P7" s="383"/>
      <c r="Q7" s="383"/>
      <c r="R7" s="383"/>
      <c r="S7" s="383"/>
      <c r="T7" s="383"/>
      <c r="U7" s="385"/>
      <c r="V7" s="383"/>
      <c r="W7" s="383"/>
      <c r="X7" s="383"/>
      <c r="Y7" s="193"/>
      <c r="Z7" s="194"/>
    </row>
    <row r="8" spans="3:26" ht="45.75" thickBot="1" x14ac:dyDescent="0.3">
      <c r="C8" s="380"/>
      <c r="D8" s="386" t="s">
        <v>194</v>
      </c>
      <c r="E8" s="387" t="s">
        <v>190</v>
      </c>
      <c r="F8" s="388" t="s">
        <v>5</v>
      </c>
      <c r="G8" s="195"/>
      <c r="H8" s="196" t="s">
        <v>73</v>
      </c>
      <c r="I8" s="197"/>
      <c r="J8" s="198"/>
      <c r="K8" s="199"/>
      <c r="L8" s="391" t="s">
        <v>173</v>
      </c>
      <c r="M8" s="369" t="s">
        <v>192</v>
      </c>
      <c r="N8" s="369" t="s">
        <v>193</v>
      </c>
      <c r="O8" s="396" t="s">
        <v>12</v>
      </c>
      <c r="P8" s="367" t="s">
        <v>6</v>
      </c>
      <c r="Q8" s="399"/>
      <c r="R8" s="367" t="s">
        <v>7</v>
      </c>
      <c r="S8" s="368"/>
      <c r="T8" s="368"/>
      <c r="U8" s="279"/>
      <c r="V8" s="375" t="s">
        <v>122</v>
      </c>
      <c r="W8" s="376"/>
      <c r="X8" s="283" t="s">
        <v>8</v>
      </c>
      <c r="Y8" s="200"/>
      <c r="Z8" s="284" t="s">
        <v>114</v>
      </c>
    </row>
    <row r="9" spans="3:26" ht="15" customHeight="1" thickBot="1" x14ac:dyDescent="0.3">
      <c r="C9" s="380"/>
      <c r="D9" s="386"/>
      <c r="E9" s="387"/>
      <c r="F9" s="389"/>
      <c r="G9" s="201"/>
      <c r="H9" s="202" t="s">
        <v>74</v>
      </c>
      <c r="I9" s="203" t="s">
        <v>4</v>
      </c>
      <c r="J9" s="204" t="s">
        <v>96</v>
      </c>
      <c r="K9" s="205" t="s">
        <v>96</v>
      </c>
      <c r="L9" s="392"/>
      <c r="M9" s="370"/>
      <c r="N9" s="370"/>
      <c r="O9" s="397"/>
      <c r="P9" s="371" t="s">
        <v>9</v>
      </c>
      <c r="Q9" s="372" t="s">
        <v>10</v>
      </c>
      <c r="R9" s="373" t="s">
        <v>11</v>
      </c>
      <c r="S9" s="372" t="s">
        <v>128</v>
      </c>
      <c r="T9" s="374" t="s">
        <v>158</v>
      </c>
      <c r="U9" s="280"/>
      <c r="V9" s="281"/>
      <c r="W9" s="282"/>
      <c r="X9" s="394" t="s">
        <v>115</v>
      </c>
      <c r="Y9" s="206"/>
      <c r="Z9" s="415" t="s">
        <v>95</v>
      </c>
    </row>
    <row r="10" spans="3:26" ht="78.599999999999994" customHeight="1" x14ac:dyDescent="0.25">
      <c r="C10" s="381"/>
      <c r="D10" s="386"/>
      <c r="E10" s="387"/>
      <c r="F10" s="390"/>
      <c r="G10" s="304" t="s">
        <v>67</v>
      </c>
      <c r="H10" s="307"/>
      <c r="I10" s="308"/>
      <c r="J10" s="309" t="s">
        <v>191</v>
      </c>
      <c r="K10" s="305" t="s">
        <v>97</v>
      </c>
      <c r="L10" s="393"/>
      <c r="M10" s="370"/>
      <c r="N10" s="417"/>
      <c r="O10" s="398"/>
      <c r="P10" s="371"/>
      <c r="Q10" s="372"/>
      <c r="R10" s="373"/>
      <c r="S10" s="372"/>
      <c r="T10" s="372"/>
      <c r="U10" s="310" t="s">
        <v>124</v>
      </c>
      <c r="V10" s="311" t="s">
        <v>121</v>
      </c>
      <c r="W10" s="311" t="s">
        <v>120</v>
      </c>
      <c r="X10" s="395"/>
      <c r="Y10" s="306"/>
      <c r="Z10" s="416"/>
    </row>
    <row r="11" spans="3:26" ht="18" customHeight="1" x14ac:dyDescent="0.25">
      <c r="C11" s="325">
        <v>2026</v>
      </c>
      <c r="D11" s="318"/>
      <c r="E11" s="318"/>
      <c r="F11" s="317"/>
      <c r="G11" s="319"/>
      <c r="H11" s="319"/>
      <c r="I11" s="319"/>
      <c r="J11" s="327">
        <f>K11</f>
        <v>500000</v>
      </c>
      <c r="K11" s="326">
        <v>500000</v>
      </c>
      <c r="L11" s="318"/>
      <c r="M11" s="320"/>
      <c r="N11" s="317"/>
      <c r="O11" s="318"/>
      <c r="P11" s="321"/>
      <c r="Q11" s="318"/>
      <c r="R11" s="322"/>
      <c r="S11" s="318"/>
      <c r="T11" s="318"/>
      <c r="U11" s="318"/>
      <c r="V11" s="323"/>
      <c r="W11" s="323"/>
      <c r="X11" s="322"/>
      <c r="Y11" s="324"/>
      <c r="Z11" s="324"/>
    </row>
    <row r="12" spans="3:26" x14ac:dyDescent="0.25">
      <c r="C12" s="312">
        <v>2027</v>
      </c>
      <c r="D12" s="313"/>
      <c r="E12" s="115"/>
      <c r="F12" s="102"/>
      <c r="G12" s="314"/>
      <c r="H12" s="315"/>
      <c r="I12" s="102"/>
      <c r="J12" s="327">
        <f>K12/1.07^2</f>
        <v>873438.72827321163</v>
      </c>
      <c r="K12" s="110">
        <v>1000000</v>
      </c>
      <c r="L12" s="316">
        <v>2000000</v>
      </c>
      <c r="M12" s="236">
        <f>L12/1.07^2</f>
        <v>1746877.4565464233</v>
      </c>
      <c r="N12" s="103"/>
      <c r="O12" s="186"/>
      <c r="P12" s="104"/>
      <c r="Q12" s="105"/>
      <c r="R12" s="106"/>
      <c r="S12" s="266"/>
      <c r="T12" s="105"/>
      <c r="U12" s="105"/>
      <c r="V12" s="105"/>
      <c r="W12" s="105"/>
      <c r="X12" s="106"/>
      <c r="Z12" s="26"/>
    </row>
    <row r="13" spans="3:26" x14ac:dyDescent="0.25">
      <c r="C13" s="29">
        <f>C12+1</f>
        <v>2028</v>
      </c>
      <c r="D13" s="114"/>
      <c r="E13" s="112"/>
      <c r="F13" s="75"/>
      <c r="G13" s="76"/>
      <c r="H13" s="76"/>
      <c r="I13" s="77"/>
      <c r="J13" s="77"/>
      <c r="K13" s="77"/>
      <c r="L13" s="14">
        <v>12104198</v>
      </c>
      <c r="M13" s="27">
        <f>L13/1.07^3</f>
        <v>9880631.1288664956</v>
      </c>
      <c r="N13" s="93"/>
      <c r="O13" s="119"/>
      <c r="P13" s="25"/>
      <c r="Q13" s="31"/>
      <c r="R13" s="25"/>
      <c r="S13" s="31"/>
      <c r="T13" s="31"/>
      <c r="U13" s="31"/>
      <c r="V13" s="31"/>
      <c r="W13" s="31"/>
      <c r="X13" s="25"/>
      <c r="Z13" s="6"/>
    </row>
    <row r="14" spans="3:26" ht="15" customHeight="1" x14ac:dyDescent="0.25">
      <c r="C14" s="29">
        <f t="shared" ref="C14:C33" si="0">+C13+1</f>
        <v>2029</v>
      </c>
      <c r="D14" s="114"/>
      <c r="E14" s="107"/>
      <c r="F14" s="75"/>
      <c r="G14" s="75"/>
      <c r="H14" s="75"/>
      <c r="I14" s="75"/>
      <c r="J14" s="75"/>
      <c r="K14" s="75"/>
      <c r="L14" s="14">
        <v>6000000</v>
      </c>
      <c r="M14" s="27">
        <f>L14/1.07^4</f>
        <v>4577371.2722851513</v>
      </c>
      <c r="N14" s="13">
        <f>O14/1.07^4</f>
        <v>2109858.3871561564</v>
      </c>
      <c r="O14" s="15">
        <f t="shared" ref="O14:O43" si="1">SUM(P14:Z14)</f>
        <v>2765593.9555493249</v>
      </c>
      <c r="P14" s="57">
        <f>+'Travl Time Reduction'!J4</f>
        <v>970066.07078641467</v>
      </c>
      <c r="Q14" s="237">
        <f>+'Fuel Savings'!G5</f>
        <v>136577.9393662737</v>
      </c>
      <c r="R14" s="237">
        <f>+NOx!H5</f>
        <v>98157.873011952004</v>
      </c>
      <c r="S14" s="237">
        <f>+'PM 2.5'!H5</f>
        <v>2649.2920414593395</v>
      </c>
      <c r="T14" s="237">
        <f>'SO2'!J5</f>
        <v>1083.0904763999999</v>
      </c>
      <c r="U14" s="262"/>
      <c r="V14" s="117">
        <f>'Cycling Journey'!H5</f>
        <v>525.18201071779151</v>
      </c>
      <c r="W14" s="8">
        <f>+'Health Benefits'!I5</f>
        <v>5364.8786231284075</v>
      </c>
      <c r="X14" s="28">
        <f>+'Stillman Acc Benefits'!J5</f>
        <v>1271024.8292329796</v>
      </c>
      <c r="Z14" s="48">
        <f>+'Vehicle Operation'!I5</f>
        <v>280144.8</v>
      </c>
    </row>
    <row r="15" spans="3:26" x14ac:dyDescent="0.25">
      <c r="C15" s="29">
        <f>+C14+1</f>
        <v>2030</v>
      </c>
      <c r="D15" s="114"/>
      <c r="E15" s="108"/>
      <c r="F15" s="75"/>
      <c r="G15" s="75"/>
      <c r="H15" s="75"/>
      <c r="I15" s="75"/>
      <c r="J15" s="75"/>
      <c r="K15" s="75"/>
      <c r="L15" s="14"/>
      <c r="M15" s="13"/>
      <c r="N15" s="13">
        <f>O15/1.07^5</f>
        <v>2006005.0624338677</v>
      </c>
      <c r="O15" s="15">
        <f t="shared" si="1"/>
        <v>2813525.8721095831</v>
      </c>
      <c r="P15" s="57">
        <f>+'Travl Time Reduction'!J5</f>
        <v>989058.66456387797</v>
      </c>
      <c r="Q15" s="237">
        <f>+'Fuel Savings'!G6</f>
        <v>138462.71492952824</v>
      </c>
      <c r="R15" s="237">
        <f>+NOx!H6</f>
        <v>100264.26513667201</v>
      </c>
      <c r="S15" s="237">
        <f>+'PM 2.5'!H6</f>
        <v>2691.5353405348092</v>
      </c>
      <c r="T15" s="237">
        <f>'SO2'!J6</f>
        <v>1101.882267</v>
      </c>
      <c r="U15" s="263"/>
      <c r="V15" s="117">
        <f>'Cycling Journey'!H6</f>
        <v>535.4643707437516</v>
      </c>
      <c r="W15" s="8">
        <f>+'Health Benefits'!I6</f>
        <v>5469.9157576319058</v>
      </c>
      <c r="X15" s="28">
        <f>+'Stillman Acc Benefits'!J6</f>
        <v>1288564.9718763947</v>
      </c>
      <c r="Z15" s="48">
        <f>+'Vehicle Operation'!I6</f>
        <v>287376.45786720002</v>
      </c>
    </row>
    <row r="16" spans="3:26" x14ac:dyDescent="0.25">
      <c r="C16" s="29">
        <f t="shared" si="0"/>
        <v>2031</v>
      </c>
      <c r="D16" s="114"/>
      <c r="E16" s="57">
        <f>I16/(1.07-0.0138)^5+I16/(1.07-0.0138)^6</f>
        <v>16365.572263970775</v>
      </c>
      <c r="F16" s="79"/>
      <c r="G16" s="80"/>
      <c r="H16" s="81"/>
      <c r="I16" s="238">
        <f>FV(0.02/5,5*5,0,-10000)</f>
        <v>11049.504935384693</v>
      </c>
      <c r="J16" s="238"/>
      <c r="K16" s="81"/>
      <c r="L16" s="14"/>
      <c r="M16" s="13"/>
      <c r="N16" s="13">
        <f>O16/1.07^6</f>
        <v>1905818.1952249357</v>
      </c>
      <c r="O16" s="15">
        <f t="shared" si="1"/>
        <v>2860119.2106801439</v>
      </c>
      <c r="P16" s="57">
        <f>+'Travl Time Reduction'!J6</f>
        <v>1008423.1078774283</v>
      </c>
      <c r="Q16" s="237">
        <f>+'Fuel Savings'!G7</f>
        <v>140373.50039555575</v>
      </c>
      <c r="R16" s="237">
        <f>+NOx!H7</f>
        <v>100264.26513667201</v>
      </c>
      <c r="S16" s="237">
        <f>+'PM 2.5'!H7</f>
        <v>2691.5353405348092</v>
      </c>
      <c r="T16" s="237">
        <f>'SO2'!J7</f>
        <v>1101.882267</v>
      </c>
      <c r="U16" s="140"/>
      <c r="V16" s="117">
        <f>'Cycling Journey'!H7</f>
        <v>545.94804560065745</v>
      </c>
      <c r="W16" s="8">
        <f>+'Health Benefits'!I7</f>
        <v>5577.0093784792243</v>
      </c>
      <c r="X16" s="28">
        <f>+'Stillman Acc Benefits'!J7</f>
        <v>1306347.1684882888</v>
      </c>
      <c r="Z16" s="48">
        <f>+'Vehicle Operation'!I7</f>
        <v>294794.79375058389</v>
      </c>
    </row>
    <row r="17" spans="3:30" x14ac:dyDescent="0.25">
      <c r="C17" s="29">
        <f t="shared" si="0"/>
        <v>2032</v>
      </c>
      <c r="D17" s="114"/>
      <c r="E17" s="244"/>
      <c r="F17" s="82"/>
      <c r="G17" s="83"/>
      <c r="H17" s="83"/>
      <c r="I17" s="239"/>
      <c r="J17" s="239"/>
      <c r="K17" s="82"/>
      <c r="L17" s="1"/>
      <c r="M17" s="13"/>
      <c r="N17" s="13">
        <f>O17/1.07^7</f>
        <v>1810680.5214616947</v>
      </c>
      <c r="O17" s="15">
        <f t="shared" si="1"/>
        <v>2907557.2411834942</v>
      </c>
      <c r="P17" s="57">
        <f>+'Travl Time Reduction'!J7</f>
        <v>1028166.6810427039</v>
      </c>
      <c r="Q17" s="237">
        <f>+'Fuel Savings'!G8</f>
        <v>142310.6547010144</v>
      </c>
      <c r="R17" s="237">
        <f>+NOx!H8</f>
        <v>100264.26513667201</v>
      </c>
      <c r="S17" s="237">
        <f>+'PM 2.5'!H8</f>
        <v>2691.5353405348092</v>
      </c>
      <c r="T17" s="237">
        <f>'SO2'!J8</f>
        <v>1101.882267</v>
      </c>
      <c r="U17" s="263"/>
      <c r="V17" s="117">
        <f>'Cycling Journey'!H8</f>
        <v>556.63697676313723</v>
      </c>
      <c r="W17" s="8">
        <f>+'Health Benefits'!I8</f>
        <v>5686.19974891728</v>
      </c>
      <c r="X17" s="28">
        <f>+'Stillman Acc Benefits'!J8</f>
        <v>1324374.759413427</v>
      </c>
      <c r="Z17" s="48">
        <f>+'Vehicle Operation'!I8</f>
        <v>302404.62655646144</v>
      </c>
      <c r="AD17" s="188"/>
    </row>
    <row r="18" spans="3:30" x14ac:dyDescent="0.25">
      <c r="C18" s="29">
        <f t="shared" si="0"/>
        <v>2033</v>
      </c>
      <c r="D18" s="114"/>
      <c r="E18" s="57">
        <f>I18/(1.07-0.0138)^7+I18/(1.07-0.0138)^8</f>
        <v>15268.999583637342</v>
      </c>
      <c r="F18" s="82"/>
      <c r="G18" s="83"/>
      <c r="H18" s="83"/>
      <c r="I18" s="238">
        <f>FV(0.02/7,7*7,0,-10000)</f>
        <v>11500.442042767245</v>
      </c>
      <c r="J18" s="238"/>
      <c r="K18" s="82"/>
      <c r="L18" s="1"/>
      <c r="M18" s="13"/>
      <c r="N18" s="13">
        <f>O18/1.07^8</f>
        <v>1720335.1766375552</v>
      </c>
      <c r="O18" s="15">
        <f t="shared" si="1"/>
        <v>2955856.1251773527</v>
      </c>
      <c r="P18" s="57">
        <f>+'Travl Time Reduction'!J8</f>
        <v>1048296.8069141676</v>
      </c>
      <c r="Q18" s="237">
        <f>+'Fuel Savings'!G9</f>
        <v>144274.5417358884</v>
      </c>
      <c r="R18" s="237">
        <f>+NOx!H9</f>
        <v>100264.26513667201</v>
      </c>
      <c r="S18" s="237">
        <f>+'PM 2.5'!H9</f>
        <v>2691.5353405348092</v>
      </c>
      <c r="T18" s="237">
        <f>'SO2'!J9</f>
        <v>1101.882267</v>
      </c>
      <c r="U18" s="263"/>
      <c r="V18" s="117">
        <f>'Cycling Journey'!H9</f>
        <v>567.53518287461065</v>
      </c>
      <c r="W18" s="8">
        <f>+'Health Benefits'!I9</f>
        <v>5797.5279204934168</v>
      </c>
      <c r="X18" s="28">
        <f>+'Stillman Acc Benefits'!J9</f>
        <v>1342651.1310933323</v>
      </c>
      <c r="Z18" s="48">
        <f>+'Vehicle Operation'!I9</f>
        <v>310210.89958638995</v>
      </c>
    </row>
    <row r="19" spans="3:30" x14ac:dyDescent="0.25">
      <c r="C19" s="29">
        <f t="shared" si="0"/>
        <v>2034</v>
      </c>
      <c r="D19" s="73"/>
      <c r="E19" s="57">
        <f>I19/(1.07-0.0138)^8+I19/(1.07-0.0138)^9</f>
        <v>29497.165493811841</v>
      </c>
      <c r="F19" s="82"/>
      <c r="G19" s="83"/>
      <c r="H19" s="83"/>
      <c r="I19" s="238">
        <f>FV(0.02/8,8*8,0,-20000)</f>
        <v>23465.531652931128</v>
      </c>
      <c r="J19" s="240"/>
      <c r="K19" s="82"/>
      <c r="L19" s="1"/>
      <c r="M19" s="13"/>
      <c r="N19" s="13">
        <f>O19/1.07^9</f>
        <v>1634538.4926089931</v>
      </c>
      <c r="O19" s="15">
        <f t="shared" si="1"/>
        <v>3005032.3497923566</v>
      </c>
      <c r="P19" s="57">
        <f>+'Travl Time Reduction'!J9</f>
        <v>1068821.0536758257</v>
      </c>
      <c r="Q19" s="237">
        <f>+'Fuel Savings'!G10</f>
        <v>146265.53041184365</v>
      </c>
      <c r="R19" s="237">
        <f>+NOx!H10</f>
        <v>100264.26513667201</v>
      </c>
      <c r="S19" s="237">
        <f>+'PM 2.5'!H10</f>
        <v>2691.5353405348092</v>
      </c>
      <c r="T19" s="237">
        <f>'SO2'!J10</f>
        <v>1101.882267</v>
      </c>
      <c r="U19" s="140"/>
      <c r="V19" s="117">
        <f>'Cycling Journey'!H10</f>
        <v>578.64676125815049</v>
      </c>
      <c r="W19" s="8">
        <f>+'Health Benefits'!I10</f>
        <v>5911.0357484892647</v>
      </c>
      <c r="X19" s="28">
        <f>+'Stillman Acc Benefits'!J10</f>
        <v>1361179.7167024203</v>
      </c>
      <c r="Z19" s="48">
        <f>+'Vehicle Operation'!I10</f>
        <v>318218.68374831299</v>
      </c>
    </row>
    <row r="20" spans="3:30" x14ac:dyDescent="0.25">
      <c r="C20" s="29">
        <f t="shared" si="0"/>
        <v>2035</v>
      </c>
      <c r="D20" s="73"/>
      <c r="E20" s="57">
        <f>I20/(1.07-0.0138)^9+I20/(1.07-0.0138)^10</f>
        <v>14245.903547224309</v>
      </c>
      <c r="F20" s="82"/>
      <c r="G20" s="83"/>
      <c r="H20" s="83"/>
      <c r="I20" s="238">
        <f>FV(0.02/9,9*9,0,-10000)</f>
        <v>11969.782976620618</v>
      </c>
      <c r="J20" s="240"/>
      <c r="K20" s="82"/>
      <c r="L20" s="1"/>
      <c r="M20" s="13"/>
      <c r="N20" s="13">
        <f>O20/1.07^10</f>
        <v>1553059.3125342447</v>
      </c>
      <c r="O20" s="15">
        <f t="shared" si="1"/>
        <v>3055102.7346029393</v>
      </c>
      <c r="P20" s="57">
        <f>+'Travl Time Reduction'!J10</f>
        <v>1089747.1376865865</v>
      </c>
      <c r="Q20" s="237">
        <f>+'Fuel Savings'!G11</f>
        <v>148283.99473152711</v>
      </c>
      <c r="R20" s="237">
        <f>+NOx!H11</f>
        <v>100264.26513667201</v>
      </c>
      <c r="S20" s="237">
        <f>+'PM 2.5'!H11</f>
        <v>2691.5353405348092</v>
      </c>
      <c r="T20" s="237">
        <f>'SO2'!J11</f>
        <v>1101.882267</v>
      </c>
      <c r="U20" s="171"/>
      <c r="V20" s="117">
        <f>'Cycling Journey'!H11</f>
        <v>589.97588945692496</v>
      </c>
      <c r="W20" s="8">
        <f>+'Health Benefits'!I11</f>
        <v>6026.7659076567825</v>
      </c>
      <c r="X20" s="28">
        <f>+'Stillman Acc Benefits'!J11</f>
        <v>1379963.9967929134</v>
      </c>
      <c r="Z20" s="48">
        <f>+'Vehicle Operation'!I11</f>
        <v>326433.18085059203</v>
      </c>
    </row>
    <row r="21" spans="3:30" x14ac:dyDescent="0.25">
      <c r="C21" s="29">
        <f t="shared" si="0"/>
        <v>2036</v>
      </c>
      <c r="D21" s="73"/>
      <c r="E21" s="244"/>
      <c r="F21" s="82"/>
      <c r="G21" s="83"/>
      <c r="H21" s="83"/>
      <c r="I21" s="82"/>
      <c r="J21" s="82"/>
      <c r="K21" s="82"/>
      <c r="L21" s="1"/>
      <c r="M21" s="13"/>
      <c r="N21" s="13">
        <f>O21/1.07^11</f>
        <v>1475678.3417737903</v>
      </c>
      <c r="O21" s="15">
        <f t="shared" si="1"/>
        <v>3106084.4386491464</v>
      </c>
      <c r="P21" s="57">
        <f>+'Travl Time Reduction'!J11</f>
        <v>1111082.9263813253</v>
      </c>
      <c r="Q21" s="237">
        <f>+'Fuel Savings'!G12</f>
        <v>150330.31385882216</v>
      </c>
      <c r="R21" s="237">
        <f>+NOx!H12</f>
        <v>100264.26513667201</v>
      </c>
      <c r="S21" s="237">
        <f>+'PM 2.5'!H12</f>
        <v>2691.5353405348092</v>
      </c>
      <c r="T21" s="237">
        <f>'SO2'!J12</f>
        <v>1101.882267</v>
      </c>
      <c r="U21" s="263"/>
      <c r="V21" s="117">
        <f>'Cycling Journey'!H12</f>
        <v>601.52682680479961</v>
      </c>
      <c r="W21" s="8">
        <f>+'Health Benefits'!I12</f>
        <v>6144.7619082623851</v>
      </c>
      <c r="X21" s="28">
        <f>+'Stillman Acc Benefits'!J12</f>
        <v>1399007.4999486557</v>
      </c>
      <c r="Z21" s="48">
        <f>+'Vehicle Operation'!I12</f>
        <v>334859.72698106925</v>
      </c>
    </row>
    <row r="22" spans="3:30" x14ac:dyDescent="0.25">
      <c r="C22" s="29">
        <f t="shared" si="0"/>
        <v>2037</v>
      </c>
      <c r="D22" s="73"/>
      <c r="E22" s="57">
        <f>I22/(1.07-0.0138)^11+I22/(1.07-0.0138)^12</f>
        <v>13291.360247962068</v>
      </c>
      <c r="F22" s="82"/>
      <c r="G22" s="83"/>
      <c r="H22" s="83"/>
      <c r="I22" s="238">
        <f>FV(0.02/11,11*11,0,-10000)</f>
        <v>12458.278417687032</v>
      </c>
      <c r="J22" s="240"/>
      <c r="K22" s="82"/>
      <c r="L22" s="1"/>
      <c r="M22" s="13"/>
      <c r="N22" s="13">
        <f>O22/1.07^12</f>
        <v>1402187.5328421462</v>
      </c>
      <c r="O22" s="15">
        <f t="shared" si="1"/>
        <v>3157994.9676128104</v>
      </c>
      <c r="P22" s="57">
        <f>+'Travl Time Reduction'!J12</f>
        <v>1132836.4412287506</v>
      </c>
      <c r="Q22" s="237">
        <f>+'Fuel Savings'!G13</f>
        <v>152404.87219007392</v>
      </c>
      <c r="R22" s="237">
        <f>+NOx!H13</f>
        <v>100264.26513667201</v>
      </c>
      <c r="S22" s="237">
        <f>+'PM 2.5'!H13</f>
        <v>2691.5353405348092</v>
      </c>
      <c r="T22" s="237">
        <f>'SO2'!J13</f>
        <v>1101.882267</v>
      </c>
      <c r="U22" s="140"/>
      <c r="V22" s="117">
        <f>'Cycling Journey'!H13</f>
        <v>613.30391602768975</v>
      </c>
      <c r="W22" s="8">
        <f>+'Health Benefits'!I13</f>
        <v>6265.0681124452058</v>
      </c>
      <c r="X22" s="28">
        <f>+'Stillman Acc Benefits'!J13</f>
        <v>1418313.8034479474</v>
      </c>
      <c r="Z22" s="48">
        <f>+'Vehicle Operation'!I13</f>
        <v>343503.79597335862</v>
      </c>
    </row>
    <row r="23" spans="3:30" x14ac:dyDescent="0.25">
      <c r="C23" s="29">
        <f t="shared" si="0"/>
        <v>2038</v>
      </c>
      <c r="D23" s="73"/>
      <c r="E23" s="244"/>
      <c r="F23" s="84"/>
      <c r="G23" s="85"/>
      <c r="H23" s="85"/>
      <c r="I23" s="84"/>
      <c r="J23" s="84"/>
      <c r="K23" s="84"/>
      <c r="L23" s="2"/>
      <c r="M23" s="13"/>
      <c r="N23" s="13">
        <f>O23/1.07^13</f>
        <v>1332389.5026032794</v>
      </c>
      <c r="O23" s="15">
        <f t="shared" si="1"/>
        <v>3210852.1811515973</v>
      </c>
      <c r="P23" s="57">
        <f>+'Travl Time Reduction'!J13</f>
        <v>1155015.8607471783</v>
      </c>
      <c r="Q23" s="237">
        <f>+'Fuel Savings'!G14</f>
        <v>154508.05942629694</v>
      </c>
      <c r="R23" s="237">
        <f>+NOx!H14</f>
        <v>100264.26513667201</v>
      </c>
      <c r="S23" s="237">
        <f>+'PM 2.5'!H14</f>
        <v>2691.5353405348092</v>
      </c>
      <c r="T23" s="237">
        <f>'SO2'!J14</f>
        <v>1101.882267</v>
      </c>
      <c r="U23" s="263"/>
      <c r="V23" s="117">
        <f>'Cycling Journey'!H14</f>
        <v>625.31158487626453</v>
      </c>
      <c r="W23" s="8">
        <f>+'Health Benefits'!I14</f>
        <v>6387.7297508956126</v>
      </c>
      <c r="X23" s="28">
        <f>+'Stillman Acc Benefits'!J14</f>
        <v>1437886.5339355287</v>
      </c>
      <c r="Z23" s="48">
        <f>+'Vehicle Operation'!I14</f>
        <v>352371.00296261488</v>
      </c>
    </row>
    <row r="24" spans="3:30" x14ac:dyDescent="0.25">
      <c r="C24" s="29">
        <f t="shared" si="0"/>
        <v>2039</v>
      </c>
      <c r="D24" s="73"/>
      <c r="E24" s="57">
        <f>I24/(1.07-0.0138)^13+I24/(1.07-0.0138)^14</f>
        <v>37202.328284393981</v>
      </c>
      <c r="F24" s="84"/>
      <c r="G24" s="85"/>
      <c r="H24" s="85"/>
      <c r="I24" s="238">
        <f>FV(0.02/13,13*13,0,-30000)</f>
        <v>38900.129767876148</v>
      </c>
      <c r="J24" s="91"/>
      <c r="K24" s="84"/>
      <c r="L24" s="2"/>
      <c r="M24" s="13"/>
      <c r="N24" s="13">
        <f>O24/1.07^14</f>
        <v>1266096.9799991692</v>
      </c>
      <c r="O24" s="15">
        <f t="shared" si="1"/>
        <v>3264674.300394523</v>
      </c>
      <c r="P24" s="57">
        <f>+'Travl Time Reduction'!J14</f>
        <v>1177629.5235793546</v>
      </c>
      <c r="Q24" s="237">
        <f>+'Fuel Savings'!G15</f>
        <v>156640.27064637985</v>
      </c>
      <c r="R24" s="237">
        <f>+NOx!H15</f>
        <v>100264.26513667201</v>
      </c>
      <c r="S24" s="237">
        <f>+'PM 2.5'!H15</f>
        <v>2691.5353405348092</v>
      </c>
      <c r="T24" s="237">
        <f>'SO2'!J15</f>
        <v>1101.882267</v>
      </c>
      <c r="U24" s="263"/>
      <c r="V24" s="117">
        <f>'Cycling Journey'!H15</f>
        <v>637.55434779061807</v>
      </c>
      <c r="W24" s="8">
        <f>+'Health Benefits'!I15</f>
        <v>6512.7929398602819</v>
      </c>
      <c r="X24" s="28">
        <f>+'Stillman Acc Benefits'!J15</f>
        <v>1457729.3681038392</v>
      </c>
      <c r="Z24" s="48">
        <f>+'Vehicle Operation'!I15</f>
        <v>361467.10803309182</v>
      </c>
    </row>
    <row r="25" spans="3:30" x14ac:dyDescent="0.25">
      <c r="C25" s="29">
        <f t="shared" si="0"/>
        <v>2040</v>
      </c>
      <c r="D25" s="73"/>
      <c r="E25" s="185"/>
      <c r="F25" s="84"/>
      <c r="G25" s="85"/>
      <c r="H25" s="85"/>
      <c r="I25" s="109"/>
      <c r="J25" s="109"/>
      <c r="K25" s="109"/>
      <c r="L25" s="2"/>
      <c r="M25" s="13"/>
      <c r="N25" s="13">
        <f>O25/1.07^15</f>
        <v>1203132.2826929155</v>
      </c>
      <c r="O25" s="15">
        <f t="shared" si="1"/>
        <v>3319479.9156025918</v>
      </c>
      <c r="P25" s="57">
        <f>+'Travl Time Reduction'!J15</f>
        <v>1200685.9316274768</v>
      </c>
      <c r="Q25" s="237">
        <f>+'Fuel Savings'!G16</f>
        <v>158801.90638129989</v>
      </c>
      <c r="R25" s="237">
        <f>+NOx!H16</f>
        <v>100264.26513667201</v>
      </c>
      <c r="S25" s="237">
        <f>+'PM 2.5'!H16</f>
        <v>2691.5353405348092</v>
      </c>
      <c r="T25" s="237">
        <f>'SO2'!J16</f>
        <v>1101.882267</v>
      </c>
      <c r="U25" s="140"/>
      <c r="V25" s="117">
        <f>'Cycling Journey'!H16</f>
        <v>650.03680759753229</v>
      </c>
      <c r="W25" s="8">
        <f>+'Health Benefits'!I16</f>
        <v>6640.3046984802068</v>
      </c>
      <c r="X25" s="28">
        <f>+'Stillman Acc Benefits'!J16</f>
        <v>1477846.0333836724</v>
      </c>
      <c r="Z25" s="48">
        <f>+'Vehicle Operation'!I16</f>
        <v>370798.01995985815</v>
      </c>
    </row>
    <row r="26" spans="3:30" x14ac:dyDescent="0.25">
      <c r="C26" s="29">
        <f t="shared" si="0"/>
        <v>2041</v>
      </c>
      <c r="D26" s="73"/>
      <c r="E26" s="57">
        <f>I26/(1.07-0.0138)^15+I26/(1.07-0.0138)^16</f>
        <v>11569.865416969522</v>
      </c>
      <c r="F26" s="84"/>
      <c r="G26" s="85"/>
      <c r="H26" s="85"/>
      <c r="I26" s="238">
        <f>FV(0.02/15,15*15,0,-10000)</f>
        <v>13495.891024971594</v>
      </c>
      <c r="J26" s="242"/>
      <c r="K26" s="84"/>
      <c r="L26" s="2"/>
      <c r="M26" s="13"/>
      <c r="N26" s="13">
        <f>O26/1.07^16</f>
        <v>1143326.8210947136</v>
      </c>
      <c r="O26" s="15">
        <f t="shared" si="1"/>
        <v>3375287.9939983408</v>
      </c>
      <c r="P26" s="57">
        <f>+'Travl Time Reduction'!J16</f>
        <v>1224193.7532495945</v>
      </c>
      <c r="Q26" s="237">
        <f>+'Fuel Savings'!G17</f>
        <v>160993.37268936183</v>
      </c>
      <c r="R26" s="237">
        <f>+NOx!H17</f>
        <v>100264.26513667201</v>
      </c>
      <c r="S26" s="237">
        <f>+'PM 2.5'!H17</f>
        <v>2691.5353405348092</v>
      </c>
      <c r="T26" s="237">
        <f>'SO2'!J17</f>
        <v>1101.882267</v>
      </c>
      <c r="U26" s="263"/>
      <c r="V26" s="117">
        <f>'Cycling Journey'!H17</f>
        <v>662.76365724096968</v>
      </c>
      <c r="W26" s="8">
        <f>+'Health Benefits'!I17</f>
        <v>6770.3129664681537</v>
      </c>
      <c r="X26" s="28">
        <f>+'Stillman Acc Benefits'!J17</f>
        <v>1498240.3086443667</v>
      </c>
      <c r="Z26" s="48">
        <f>+'Vehicle Operation'!I17</f>
        <v>380369.80004710192</v>
      </c>
    </row>
    <row r="27" spans="3:30" x14ac:dyDescent="0.25">
      <c r="C27" s="29">
        <f t="shared" si="0"/>
        <v>2042</v>
      </c>
      <c r="D27" s="73"/>
      <c r="E27" s="113"/>
      <c r="F27" s="84"/>
      <c r="G27" s="85"/>
      <c r="H27" s="85"/>
      <c r="I27" s="84"/>
      <c r="J27" s="84"/>
      <c r="K27" s="84"/>
      <c r="L27" s="2"/>
      <c r="M27" s="13"/>
      <c r="N27" s="13">
        <f>O27/1.07^17</f>
        <v>1086520.628321165</v>
      </c>
      <c r="O27" s="15">
        <f t="shared" si="1"/>
        <v>3432117.8877681298</v>
      </c>
      <c r="P27" s="57">
        <f>+'Travl Time Reduction'!J17</f>
        <v>1248161.8265185924</v>
      </c>
      <c r="Q27" s="237">
        <f>+'Fuel Savings'!G18</f>
        <v>163215.081232475</v>
      </c>
      <c r="R27" s="237">
        <f>+NOx!H18</f>
        <v>100264.26513667201</v>
      </c>
      <c r="S27" s="237">
        <f>+'PM 2.5'!H18</f>
        <v>2691.5353405348092</v>
      </c>
      <c r="T27" s="237">
        <f>'SO2'!J18</f>
        <v>1101.882267</v>
      </c>
      <c r="U27" s="171"/>
      <c r="V27" s="117">
        <f>'Cycling Journey'!H18</f>
        <v>675.73968154644717</v>
      </c>
      <c r="W27" s="8">
        <f>+'Health Benefits'!I18</f>
        <v>6902.8666221322246</v>
      </c>
      <c r="X27" s="28">
        <f>+'Stillman Acc Benefits'!J18</f>
        <v>1518916.0249036595</v>
      </c>
      <c r="Z27" s="48">
        <f>+'Vehicle Operation'!I18</f>
        <v>390188.66606551787</v>
      </c>
    </row>
    <row r="28" spans="3:30" x14ac:dyDescent="0.25">
      <c r="C28" s="29">
        <f t="shared" si="0"/>
        <v>2043</v>
      </c>
      <c r="D28" s="73"/>
      <c r="E28" s="57">
        <f>I28/(1.07-0.0138)^17+I28/(1.07-0.0138)^18</f>
        <v>10794.629755614904</v>
      </c>
      <c r="F28" s="84"/>
      <c r="G28" s="85"/>
      <c r="H28" s="85"/>
      <c r="I28" s="238">
        <f>FV(0.02/17,17*17,0,-10000)</f>
        <v>14046.668492882258</v>
      </c>
      <c r="J28" s="242"/>
      <c r="K28" s="84"/>
      <c r="L28" s="2"/>
      <c r="M28" s="13"/>
      <c r="N28" s="13">
        <f>O28/1.07^18</f>
        <v>1032561.9147160918</v>
      </c>
      <c r="O28" s="15">
        <f t="shared" si="1"/>
        <v>3489989.3422411042</v>
      </c>
      <c r="P28" s="57">
        <f>+'Travl Time Reduction'!J18</f>
        <v>1272599.162544979</v>
      </c>
      <c r="Q28" s="237">
        <f>+'Fuel Savings'!G19</f>
        <v>165467.44935348316</v>
      </c>
      <c r="R28" s="237">
        <f>+NOx!H19</f>
        <v>100264.26513667201</v>
      </c>
      <c r="S28" s="237">
        <f>+'PM 2.5'!H19</f>
        <v>2691.5353405348092</v>
      </c>
      <c r="T28" s="237">
        <f>'SO2'!J19</f>
        <v>1101.882267</v>
      </c>
      <c r="U28" s="263"/>
      <c r="V28" s="117">
        <f>'Cycling Journey'!H19</f>
        <v>688.96975901995324</v>
      </c>
      <c r="W28" s="8">
        <f>+'Health Benefits'!I19</f>
        <v>7038.0155007522999</v>
      </c>
      <c r="X28" s="28">
        <f>+'Stillman Acc Benefits'!J19</f>
        <v>1539877.0660473299</v>
      </c>
      <c r="Z28" s="48">
        <f>+'Vehicle Operation'!I19</f>
        <v>400260.99629133323</v>
      </c>
    </row>
    <row r="29" spans="3:30" x14ac:dyDescent="0.25">
      <c r="C29" s="29">
        <f t="shared" si="0"/>
        <v>2044</v>
      </c>
      <c r="D29" s="73"/>
      <c r="E29" s="113"/>
      <c r="F29" s="84"/>
      <c r="G29" s="85"/>
      <c r="H29" s="85"/>
      <c r="I29" s="84"/>
      <c r="J29" s="84"/>
      <c r="K29" s="84"/>
      <c r="L29" s="2"/>
      <c r="M29" s="13"/>
      <c r="N29" s="13">
        <f>O29/1.07^19</f>
        <v>981306.64563451125</v>
      </c>
      <c r="O29" s="15">
        <f t="shared" si="1"/>
        <v>3548922.5042488785</v>
      </c>
      <c r="P29" s="57">
        <f>+'Travl Time Reduction'!J19</f>
        <v>1297514.9488647319</v>
      </c>
      <c r="Q29" s="237">
        <f>+'Fuel Savings'!G20</f>
        <v>167750.90015456124</v>
      </c>
      <c r="R29" s="237">
        <f>+NOx!H20</f>
        <v>100264.26513667201</v>
      </c>
      <c r="S29" s="237">
        <f>+'PM 2.5'!H20</f>
        <v>2691.5353405348092</v>
      </c>
      <c r="T29" s="237">
        <f>'SO2'!J20</f>
        <v>1101.882267</v>
      </c>
      <c r="U29" s="140"/>
      <c r="V29" s="117">
        <f>'Cycling Journey'!H20</f>
        <v>702.45886368208687</v>
      </c>
      <c r="W29" s="8">
        <f>+'Health Benefits'!I20</f>
        <v>7175.8104133162597</v>
      </c>
      <c r="X29" s="28">
        <f>+'Stillman Acc Benefits'!J20</f>
        <v>1561127.3695587828</v>
      </c>
      <c r="Z29" s="48">
        <f>+'Vehicle Operation'!I20</f>
        <v>410593.33364959771</v>
      </c>
    </row>
    <row r="30" spans="3:30" x14ac:dyDescent="0.25">
      <c r="C30" s="29">
        <f t="shared" si="0"/>
        <v>2045</v>
      </c>
      <c r="D30" s="73"/>
      <c r="E30" s="57">
        <f>I30/(1.07-0.0138)^19+I30/(1.07-0.0138)^20</f>
        <v>30214.015774533058</v>
      </c>
      <c r="F30" s="84"/>
      <c r="G30" s="85"/>
      <c r="H30" s="85"/>
      <c r="I30" s="238">
        <f>FV(0.02/19,19*19,0,-30000)</f>
        <v>43859.771003704016</v>
      </c>
      <c r="J30" s="243"/>
      <c r="K30" s="84"/>
      <c r="L30" s="2"/>
      <c r="M30" s="13"/>
      <c r="N30" s="13">
        <f>O30/1.07^20</f>
        <v>932618.14126090275</v>
      </c>
      <c r="O30" s="15">
        <f t="shared" si="1"/>
        <v>3608937.930670056</v>
      </c>
      <c r="P30" s="57">
        <f>+'Travl Time Reduction'!J20</f>
        <v>1322918.5528934717</v>
      </c>
      <c r="Q30" s="237">
        <f>+'Fuel Savings'!G21</f>
        <v>170065.86257669417</v>
      </c>
      <c r="R30" s="237">
        <f>+NOx!H21</f>
        <v>100264.26513667201</v>
      </c>
      <c r="S30" s="237">
        <f>+'PM 2.5'!H21</f>
        <v>2691.5353405348092</v>
      </c>
      <c r="T30" s="237">
        <f>'SO2'!J21</f>
        <v>1101.882267</v>
      </c>
      <c r="U30" s="171"/>
      <c r="V30" s="117">
        <f>'Cycling Journey'!H21</f>
        <v>716.21206693810484</v>
      </c>
      <c r="W30" s="8">
        <f>+'Health Benefits'!I21</f>
        <v>7316.3031656230387</v>
      </c>
      <c r="X30" s="28">
        <f>+'Stillman Acc Benefits'!J21</f>
        <v>1582670.9272586941</v>
      </c>
      <c r="Z30" s="48">
        <f>+'Vehicle Operation'!I21</f>
        <v>421192.38996442844</v>
      </c>
    </row>
    <row r="31" spans="3:30" x14ac:dyDescent="0.25">
      <c r="C31" s="29">
        <f>+C30+1</f>
        <v>2046</v>
      </c>
      <c r="D31" s="73"/>
      <c r="E31" s="113"/>
      <c r="F31" s="84"/>
      <c r="G31" s="85"/>
      <c r="H31" s="85"/>
      <c r="I31" s="84"/>
      <c r="J31" s="84"/>
      <c r="K31" s="84"/>
      <c r="L31" s="2"/>
      <c r="M31" s="13"/>
      <c r="N31" s="13">
        <f>O31/1.07^21</f>
        <v>886366.6972986263</v>
      </c>
      <c r="O31" s="15">
        <f t="shared" si="1"/>
        <v>3670056.5971638029</v>
      </c>
      <c r="P31" s="57">
        <f>+'Travl Time Reduction'!J21</f>
        <v>1348819.525448265</v>
      </c>
      <c r="Q31" s="237">
        <f>+'Fuel Savings'!G22</f>
        <v>172412.77148025256</v>
      </c>
      <c r="R31" s="237">
        <f>+NOx!H22</f>
        <v>100264.26513667201</v>
      </c>
      <c r="S31" s="237">
        <f>+'PM 2.5'!H22</f>
        <v>2691.5353405348092</v>
      </c>
      <c r="T31" s="237">
        <f>'SO2'!J22</f>
        <v>1101.882267</v>
      </c>
      <c r="U31" s="263"/>
      <c r="V31" s="117">
        <f>'Cycling Journey'!H22</f>
        <v>730.23453948458337</v>
      </c>
      <c r="W31" s="8">
        <f>+'Health Benefits'!I22</f>
        <v>7459.5465777596964</v>
      </c>
      <c r="X31" s="28">
        <f>+'Stillman Acc Benefits'!J22</f>
        <v>1604511.7860548641</v>
      </c>
      <c r="Z31" s="48">
        <f>+'Vehicle Operation'!I22</f>
        <v>432065.05031897011</v>
      </c>
    </row>
    <row r="32" spans="3:30" x14ac:dyDescent="0.25">
      <c r="C32" s="29">
        <f t="shared" si="0"/>
        <v>2047</v>
      </c>
      <c r="D32" s="73"/>
      <c r="E32" s="57">
        <f>I32/(1.07-0.0138)^21+I32/(1.07-0.0138)^22</f>
        <v>9396.5113801477673</v>
      </c>
      <c r="F32" s="84"/>
      <c r="G32" s="85"/>
      <c r="H32" s="85"/>
      <c r="I32" s="238">
        <f>FV(0.02/21,21*21,0,-10000)</f>
        <v>15216.573868331709</v>
      </c>
      <c r="J32" s="242"/>
      <c r="K32" s="84"/>
      <c r="L32" s="2"/>
      <c r="M32" s="13"/>
      <c r="N32" s="13">
        <f>O32/1.07^22</f>
        <v>842429.22542951419</v>
      </c>
      <c r="O32" s="15">
        <f t="shared" si="1"/>
        <v>3732299.9070968037</v>
      </c>
      <c r="P32" s="57">
        <f>+'Travl Time Reduction'!J22</f>
        <v>1375227.6043383782</v>
      </c>
      <c r="Q32" s="237">
        <f>+'Fuel Savings'!G23</f>
        <v>174792.06772668002</v>
      </c>
      <c r="R32" s="237">
        <f>+NOx!H23</f>
        <v>100264.26513667201</v>
      </c>
      <c r="S32" s="237">
        <f>+'PM 2.5'!H23</f>
        <v>2691.5353405348092</v>
      </c>
      <c r="T32" s="237">
        <f>'SO2'!J23</f>
        <v>1101.882267</v>
      </c>
      <c r="U32" s="264"/>
      <c r="V32" s="117">
        <f>'Cycling Journey'!H23</f>
        <v>744.53155325340867</v>
      </c>
      <c r="W32" s="8">
        <f>+'Health Benefits'!I23</f>
        <v>7605.5945039598191</v>
      </c>
      <c r="X32" s="28">
        <f>+'Stillman Acc Benefits'!J23</f>
        <v>1626654.0487024214</v>
      </c>
      <c r="Z32" s="48">
        <f>+'Vehicle Operation'!I23</f>
        <v>443218.37752790406</v>
      </c>
    </row>
    <row r="33" spans="3:26" x14ac:dyDescent="0.25">
      <c r="C33" s="29">
        <f t="shared" si="0"/>
        <v>2048</v>
      </c>
      <c r="D33" s="73"/>
      <c r="E33" s="113"/>
      <c r="F33" s="84"/>
      <c r="G33" s="85"/>
      <c r="H33" s="85"/>
      <c r="I33" s="84"/>
      <c r="J33" s="84"/>
      <c r="K33" s="84"/>
      <c r="L33" s="2"/>
      <c r="M33" s="13"/>
      <c r="N33" s="13">
        <f>O33/1.07^23</f>
        <v>800688.91250143934</v>
      </c>
      <c r="O33" s="15">
        <f t="shared" si="1"/>
        <v>3795689.7006680174</v>
      </c>
      <c r="P33" s="57">
        <f>+'Travl Time Reduction'!J23</f>
        <v>1402152.718026334</v>
      </c>
      <c r="Q33" s="237">
        <f>+'Fuel Savings'!G24</f>
        <v>177204.19826130822</v>
      </c>
      <c r="R33" s="237">
        <f>+NOx!H24</f>
        <v>100264.26513667201</v>
      </c>
      <c r="S33" s="237">
        <f>+'PM 2.5'!H24</f>
        <v>2691.5353405348092</v>
      </c>
      <c r="T33" s="237">
        <f>'SO2'!J24</f>
        <v>1101.882267</v>
      </c>
      <c r="U33" s="171"/>
      <c r="V33" s="117">
        <f>'Cycling Journey'!H24</f>
        <v>759.10848339382903</v>
      </c>
      <c r="W33" s="8">
        <f>+'Health Benefits'!I24</f>
        <v>7754.5018528507171</v>
      </c>
      <c r="X33" s="28">
        <f>+'Stillman Acc Benefits'!J24</f>
        <v>1649101.8745745143</v>
      </c>
      <c r="Z33" s="48">
        <f>+'Vehicle Operation'!I24</f>
        <v>454659.6167254094</v>
      </c>
    </row>
    <row r="34" spans="3:26" x14ac:dyDescent="0.25">
      <c r="C34" s="70">
        <f>+C33+1</f>
        <v>2049</v>
      </c>
      <c r="D34" s="73"/>
      <c r="E34" s="57">
        <f>I34/(1.07-0.0138)^223+I34/(1.07-0.0138)^24</f>
        <v>12791.166836160415</v>
      </c>
      <c r="F34" s="86"/>
      <c r="G34" s="87"/>
      <c r="H34" s="88"/>
      <c r="I34" s="238">
        <f>FV(0.02/23,23*23,0,-30000)</f>
        <v>47512.721561436338</v>
      </c>
      <c r="J34" s="91"/>
      <c r="K34" s="111"/>
      <c r="L34" s="71"/>
      <c r="M34" s="72"/>
      <c r="N34" s="13">
        <f>O34/1.07^24</f>
        <v>761034.89745728835</v>
      </c>
      <c r="O34" s="15">
        <f t="shared" si="1"/>
        <v>3860248.264235761</v>
      </c>
      <c r="P34" s="57">
        <f>+'Travl Time Reduction'!J24</f>
        <v>1429604.9893606473</v>
      </c>
      <c r="Q34" s="237">
        <f>+'Fuel Savings'!G25</f>
        <v>179649.61619731429</v>
      </c>
      <c r="R34" s="237">
        <f>+NOx!H25</f>
        <v>100264.26513667201</v>
      </c>
      <c r="S34" s="237">
        <f>+'PM 2.5'!H25</f>
        <v>2691.5353405348092</v>
      </c>
      <c r="T34" s="237">
        <f>'SO2'!J25</f>
        <v>1101.882267</v>
      </c>
      <c r="U34" s="171"/>
      <c r="V34" s="117">
        <f>'Cycling Journey'!H25</f>
        <v>773.9708102933123</v>
      </c>
      <c r="W34" s="8">
        <f>+'Health Benefits'!I25</f>
        <v>7906.3246080970512</v>
      </c>
      <c r="X34" s="28">
        <f>+'Stillman Acc Benefits'!J25</f>
        <v>1671859.4804436429</v>
      </c>
      <c r="Z34" s="48">
        <f>+'Vehicle Operation'!I25</f>
        <v>466396.20007155911</v>
      </c>
    </row>
    <row r="35" spans="3:26" x14ac:dyDescent="0.25">
      <c r="C35" s="70">
        <f t="shared" ref="C35:C43" si="2">+C34+1</f>
        <v>2050</v>
      </c>
      <c r="D35" s="73"/>
      <c r="E35" s="78"/>
      <c r="F35" s="84"/>
      <c r="G35" s="84"/>
      <c r="H35" s="89"/>
      <c r="I35" s="109"/>
      <c r="J35" s="109"/>
      <c r="K35" s="109"/>
      <c r="L35" s="2"/>
      <c r="M35" s="13"/>
      <c r="N35" s="13">
        <f>O35/1.07^25</f>
        <v>723361.96507136198</v>
      </c>
      <c r="O35" s="15">
        <f t="shared" si="1"/>
        <v>3925998.3398517449</v>
      </c>
      <c r="P35" s="57">
        <f>+'Travl Time Reduction'!J25</f>
        <v>1457594.7393816432</v>
      </c>
      <c r="Q35" s="237">
        <f>+'Fuel Savings'!G26</f>
        <v>182128.78090083721</v>
      </c>
      <c r="R35" s="237">
        <f>+NOx!H26</f>
        <v>100264.26513667201</v>
      </c>
      <c r="S35" s="237">
        <f>+'PM 2.5'!H26</f>
        <v>2691.5353405348092</v>
      </c>
      <c r="T35" s="237">
        <f>'SO2'!J26</f>
        <v>1101.882267</v>
      </c>
      <c r="U35" s="262"/>
      <c r="V35" s="117">
        <f>'Cycling Journey'!H26</f>
        <v>789.12412163796967</v>
      </c>
      <c r="W35" s="8">
        <f>+'Health Benefits'!I26</f>
        <v>8061.1198494486152</v>
      </c>
      <c r="X35" s="28">
        <f>+'Stillman Acc Benefits'!J26</f>
        <v>1694931.1412737651</v>
      </c>
      <c r="Y35" s="6"/>
      <c r="Z35" s="48">
        <f>+'Vehicle Operation'!I26</f>
        <v>478435.75158020633</v>
      </c>
    </row>
    <row r="36" spans="3:26" x14ac:dyDescent="0.25">
      <c r="C36" s="70">
        <f t="shared" si="2"/>
        <v>2051</v>
      </c>
      <c r="D36" s="73"/>
      <c r="E36" s="78"/>
      <c r="F36" s="84"/>
      <c r="G36" s="84"/>
      <c r="H36" s="89"/>
      <c r="I36" s="89"/>
      <c r="J36" s="89"/>
      <c r="K36" s="89"/>
      <c r="L36" s="2"/>
      <c r="M36" s="13"/>
      <c r="N36" s="13">
        <f>O36/1.07^26</f>
        <v>687570.25560899894</v>
      </c>
      <c r="O36" s="15">
        <f t="shared" si="1"/>
        <v>3992963.1350068143</v>
      </c>
      <c r="P36" s="57">
        <f>+'Travl Time Reduction'!J26</f>
        <v>1486132.4912017847</v>
      </c>
      <c r="Q36" s="237">
        <f>+'Fuel Savings'!G27</f>
        <v>184642.15807726874</v>
      </c>
      <c r="R36" s="237">
        <f>+NOx!H27</f>
        <v>100264.26513667201</v>
      </c>
      <c r="S36" s="237">
        <f>+'PM 2.5'!H27</f>
        <v>2691.5353405348092</v>
      </c>
      <c r="T36" s="237">
        <f>'SO2'!J27</f>
        <v>1101.882267</v>
      </c>
      <c r="U36" s="262"/>
      <c r="V36" s="117">
        <f>'Cycling Journey'!H27</f>
        <v>804.57411451331825</v>
      </c>
      <c r="W36" s="8">
        <f>+'Health Benefits'!I27</f>
        <v>8218.9457742002214</v>
      </c>
      <c r="X36" s="28">
        <f>+'Stillman Acc Benefits'!J27</f>
        <v>1718321.1910233432</v>
      </c>
      <c r="Y36" s="6"/>
      <c r="Z36" s="48">
        <f>+'Vehicle Operation'!I27</f>
        <v>490786.09207149781</v>
      </c>
    </row>
    <row r="37" spans="3:26" x14ac:dyDescent="0.25">
      <c r="C37" s="70">
        <f t="shared" si="2"/>
        <v>2052</v>
      </c>
      <c r="D37" s="73"/>
      <c r="E37" s="57">
        <f>I37/(1.07-0.0138)^26+I37/(1.07-0.0138)^27</f>
        <v>7900.6944429207015</v>
      </c>
      <c r="F37" s="84"/>
      <c r="G37" s="84"/>
      <c r="H37" s="89"/>
      <c r="I37" s="238">
        <f>FV(0.02/26,26*26,0,-10000)</f>
        <v>16816.914501891428</v>
      </c>
      <c r="J37" s="241"/>
      <c r="K37" s="89"/>
      <c r="L37" s="2"/>
      <c r="M37" s="13"/>
      <c r="N37" s="13">
        <f>O37/1.07^27</f>
        <v>653564.9895722887</v>
      </c>
      <c r="O37" s="15">
        <f t="shared" si="1"/>
        <v>4061166.3325932338</v>
      </c>
      <c r="P37" s="57">
        <f>+'Travl Time Reduction'!J27</f>
        <v>1515228.9739619778</v>
      </c>
      <c r="Q37" s="237">
        <f>+'Fuel Savings'!G28</f>
        <v>187190.21985873504</v>
      </c>
      <c r="R37" s="237">
        <f>+NOx!H28</f>
        <v>100264.26513667201</v>
      </c>
      <c r="S37" s="237">
        <f>+'PM 2.5'!H28</f>
        <v>2691.5353405348092</v>
      </c>
      <c r="T37" s="237">
        <f>'SO2'!J28</f>
        <v>1101.882267</v>
      </c>
      <c r="U37" s="262"/>
      <c r="V37" s="117">
        <f>'Cycling Journey'!H28</f>
        <v>820.32659754617555</v>
      </c>
      <c r="W37" s="8">
        <f>+'Health Benefits'!I28</f>
        <v>8379.8617190717268</v>
      </c>
      <c r="X37" s="28">
        <f>+'Stillman Acc Benefits'!J28</f>
        <v>1742034.0234594652</v>
      </c>
      <c r="Y37" s="6"/>
      <c r="Z37" s="48">
        <f>+'Vehicle Operation'!I28</f>
        <v>503455.2442522315</v>
      </c>
    </row>
    <row r="38" spans="3:26" x14ac:dyDescent="0.25">
      <c r="C38" s="70">
        <f t="shared" si="2"/>
        <v>2053</v>
      </c>
      <c r="D38" s="73"/>
      <c r="E38" s="57">
        <f>I38/(1.07-0.0138)^27+I38/(1.07-0.0138)^28</f>
        <v>15262.827167629592</v>
      </c>
      <c r="F38" s="84"/>
      <c r="G38" s="84"/>
      <c r="H38" s="89"/>
      <c r="I38" s="238">
        <f>FV(0.02/27,27*27,0,-20000)</f>
        <v>34313.277289689788</v>
      </c>
      <c r="J38" s="241"/>
      <c r="K38" s="89"/>
      <c r="L38" s="2"/>
      <c r="M38" s="13"/>
      <c r="N38" s="13">
        <f>O38/1.07^28</f>
        <v>621256.20673928561</v>
      </c>
      <c r="O38" s="15">
        <f t="shared" si="1"/>
        <v>4130632.1010884894</v>
      </c>
      <c r="P38" s="57">
        <f>+'Travl Time Reduction'!J28</f>
        <v>1544895.1268653281</v>
      </c>
      <c r="Q38" s="237">
        <f>+'Fuel Savings'!G29</f>
        <v>189773.4448927856</v>
      </c>
      <c r="R38" s="237">
        <f>+NOx!H29</f>
        <v>100264.26513667201</v>
      </c>
      <c r="S38" s="237">
        <f>+'PM 2.5'!H29</f>
        <v>2691.5353405348092</v>
      </c>
      <c r="T38" s="237">
        <f>'SO2'!J29</f>
        <v>1101.882267</v>
      </c>
      <c r="U38" s="262"/>
      <c r="V38" s="117">
        <f>'Cycling Journey'!H29</f>
        <v>836.38749308848912</v>
      </c>
      <c r="W38" s="8">
        <f>+'Health Benefits'!I29</f>
        <v>8543.9281825164471</v>
      </c>
      <c r="X38" s="28">
        <f>+'Stillman Acc Benefits'!J29</f>
        <v>1766074.0929832058</v>
      </c>
      <c r="Y38" s="6"/>
      <c r="Z38" s="48">
        <f>+'Vehicle Operation'!I29</f>
        <v>516451.43792735861</v>
      </c>
    </row>
    <row r="39" spans="3:26" x14ac:dyDescent="0.25">
      <c r="C39" s="70">
        <f t="shared" si="2"/>
        <v>2054</v>
      </c>
      <c r="D39" s="73"/>
      <c r="E39" s="57">
        <f>I39/(1.07-0.0138)^28+I39/(1.07-0.0138)^29</f>
        <v>7371.3106770246632</v>
      </c>
      <c r="F39" s="84"/>
      <c r="G39" s="84"/>
      <c r="H39" s="89"/>
      <c r="I39" s="238">
        <f>FV(0.02/28,28*28,0,-10000)</f>
        <v>17503.22567415228</v>
      </c>
      <c r="J39" s="241"/>
      <c r="K39" s="89"/>
      <c r="L39" s="2"/>
      <c r="M39" s="13"/>
      <c r="N39" s="13">
        <f>O39/1.07^29</f>
        <v>590558.51874626731</v>
      </c>
      <c r="O39" s="15">
        <f t="shared" si="1"/>
        <v>4201385.1049656942</v>
      </c>
      <c r="P39" s="57">
        <f>+'Travl Time Reduction'!J29</f>
        <v>1575142.1032898815</v>
      </c>
      <c r="Q39" s="237">
        <f>+'Fuel Savings'!G30</f>
        <v>192392.31843230603</v>
      </c>
      <c r="R39" s="237">
        <f>+NOx!H30</f>
        <v>100264.26513667201</v>
      </c>
      <c r="S39" s="237">
        <f>+'PM 2.5'!H30</f>
        <v>2691.5353405348092</v>
      </c>
      <c r="T39" s="237">
        <f>'SO2'!J30</f>
        <v>1101.882267</v>
      </c>
      <c r="U39" s="262"/>
      <c r="V39" s="117">
        <f>'Cycling Journey'!H30</f>
        <v>852.76283944392083</v>
      </c>
      <c r="W39" s="8">
        <f>+'Health Benefits'!I30</f>
        <v>8711.2068474663556</v>
      </c>
      <c r="X39" s="28">
        <f>+'Stillman Acc Benefits'!J30</f>
        <v>1790445.915466374</v>
      </c>
      <c r="Y39" s="6"/>
      <c r="Z39" s="48">
        <f>+'Vehicle Operation'!I30</f>
        <v>529783.11534601555</v>
      </c>
    </row>
    <row r="40" spans="3:26" x14ac:dyDescent="0.25">
      <c r="C40" s="70">
        <f t="shared" si="2"/>
        <v>2055</v>
      </c>
      <c r="D40" s="73"/>
      <c r="E40" s="78"/>
      <c r="F40" s="84"/>
      <c r="G40" s="84"/>
      <c r="H40" s="89"/>
      <c r="I40" s="241"/>
      <c r="J40" s="241"/>
      <c r="K40" s="89"/>
      <c r="L40" s="2"/>
      <c r="M40" s="13"/>
      <c r="N40" s="13">
        <f>O40/1.07^30</f>
        <v>561390.87450245838</v>
      </c>
      <c r="O40" s="15">
        <f t="shared" si="1"/>
        <v>4273450.5153357862</v>
      </c>
      <c r="P40" s="57">
        <f>+'Travl Time Reduction'!J30</f>
        <v>1605981.2749818789</v>
      </c>
      <c r="Q40" s="237">
        <f>+'Fuel Savings'!G31</f>
        <v>195047.33242667184</v>
      </c>
      <c r="R40" s="237">
        <f>+NOx!H31</f>
        <v>100264.26513667201</v>
      </c>
      <c r="S40" s="237">
        <f>+'PM 2.5'!H31</f>
        <v>2691.5353405348092</v>
      </c>
      <c r="T40" s="237">
        <f>'SO2'!J31</f>
        <v>1101.882267</v>
      </c>
      <c r="U40" s="262"/>
      <c r="V40" s="117">
        <f>'Cycling Journey'!H31</f>
        <v>869.458793138028</v>
      </c>
      <c r="W40" s="8">
        <f>+'Health Benefits'!I31</f>
        <v>8881.7606045225693</v>
      </c>
      <c r="X40" s="28">
        <f>+'Stillman Acc Benefits'!J31</f>
        <v>1815154.0690998102</v>
      </c>
      <c r="Y40" s="6"/>
      <c r="Z40" s="48">
        <f>+'Vehicle Operation'!I31</f>
        <v>543458.93668555759</v>
      </c>
    </row>
    <row r="41" spans="3:26" x14ac:dyDescent="0.25">
      <c r="C41" s="70">
        <f t="shared" si="2"/>
        <v>2056</v>
      </c>
      <c r="D41" s="73"/>
      <c r="E41" s="57">
        <f>I41/(1.07-0.0138)^30+I41/(1.07-0.0138)^31</f>
        <v>6877.3981252874837</v>
      </c>
      <c r="F41" s="84"/>
      <c r="G41" s="84"/>
      <c r="H41" s="89"/>
      <c r="I41" s="238">
        <f>FV(0.02/30,30*30,0,-10000)</f>
        <v>18217.545749230219</v>
      </c>
      <c r="J41" s="241"/>
      <c r="K41" s="89"/>
      <c r="L41" s="2"/>
      <c r="M41" s="13"/>
      <c r="N41" s="13">
        <f>O41/1.07^31</f>
        <v>533676.33776435687</v>
      </c>
      <c r="O41" s="15">
        <f t="shared" si="1"/>
        <v>4346854.0208268603</v>
      </c>
      <c r="P41" s="57">
        <f>+'Travl Time Reduction'!J31</f>
        <v>1637424.2363311159</v>
      </c>
      <c r="Q41" s="237">
        <f>+'Fuel Savings'!G32</f>
        <v>197738.98561415993</v>
      </c>
      <c r="R41" s="237">
        <f>+NOx!H32</f>
        <v>100264.26513667201</v>
      </c>
      <c r="S41" s="237">
        <f>+'PM 2.5'!H32</f>
        <v>2691.5353405348092</v>
      </c>
      <c r="T41" s="237">
        <f>'SO2'!J32</f>
        <v>1101.882267</v>
      </c>
      <c r="U41" s="262"/>
      <c r="V41" s="117">
        <f>'Cycling Journey'!H32</f>
        <v>886.48163123288793</v>
      </c>
      <c r="W41" s="8">
        <f>+'Health Benefits'!I32</f>
        <v>9055.6535755999139</v>
      </c>
      <c r="X41" s="28">
        <f>+'Stillman Acc Benefits'!J32</f>
        <v>1840203.1952533871</v>
      </c>
      <c r="Y41" s="6"/>
      <c r="Z41" s="48">
        <f>+'Vehicle Operation'!I32</f>
        <v>557487.78567715862</v>
      </c>
    </row>
    <row r="42" spans="3:26" x14ac:dyDescent="0.25">
      <c r="C42" s="70">
        <f t="shared" si="2"/>
        <v>2057</v>
      </c>
      <c r="D42" s="73"/>
      <c r="E42" s="78"/>
      <c r="F42" s="84"/>
      <c r="G42" s="84"/>
      <c r="H42" s="89"/>
      <c r="I42" s="241"/>
      <c r="J42" s="241"/>
      <c r="K42" s="89"/>
      <c r="L42" s="2"/>
      <c r="M42" s="13"/>
      <c r="N42" s="13">
        <f>O42/1.07^32</f>
        <v>507341.87623250432</v>
      </c>
      <c r="O42" s="15">
        <f t="shared" si="1"/>
        <v>4421621.8387060789</v>
      </c>
      <c r="P42" s="57">
        <f>+'Travl Time Reduction'!J32</f>
        <v>1669482.8087300025</v>
      </c>
      <c r="Q42" s="237">
        <f>+'Fuel Savings'!G33</f>
        <v>200467.78361563533</v>
      </c>
      <c r="R42" s="237">
        <f>+NOx!H33</f>
        <v>100264.26513667201</v>
      </c>
      <c r="S42" s="237">
        <f>+'PM 2.5'!H33</f>
        <v>2691.5353405348092</v>
      </c>
      <c r="T42" s="237">
        <f>'SO2'!J33</f>
        <v>1101.882267</v>
      </c>
      <c r="U42" s="262"/>
      <c r="V42" s="117">
        <f>'Cycling Journey'!H33</f>
        <v>903.83775368704198</v>
      </c>
      <c r="W42" s="8">
        <f>+'Health Benefits'!I33</f>
        <v>9232.9511380343683</v>
      </c>
      <c r="X42" s="28">
        <f>+'Stillman Acc Benefits'!J33</f>
        <v>1865597.9993478842</v>
      </c>
      <c r="Y42" s="6"/>
      <c r="Z42" s="48">
        <f>+'Vehicle Operation'!I33</f>
        <v>571878.77537662874</v>
      </c>
    </row>
    <row r="43" spans="3:26" ht="15.75" thickBot="1" x14ac:dyDescent="0.3">
      <c r="C43" s="70">
        <f t="shared" si="2"/>
        <v>2058</v>
      </c>
      <c r="D43" s="6"/>
      <c r="E43" s="57">
        <f>I43/(1.07-0.0138)^32+I43/(1.07-0.0138)^33</f>
        <v>320829.00235518377</v>
      </c>
      <c r="F43" s="90"/>
      <c r="G43" s="90"/>
      <c r="H43" s="90"/>
      <c r="I43" s="238">
        <f>FV(0.02/32,32*32,0,-500000)</f>
        <v>948050.88949534844</v>
      </c>
      <c r="J43" s="57"/>
      <c r="K43" s="90"/>
      <c r="L43" s="6"/>
      <c r="M43" s="6"/>
      <c r="N43" s="13">
        <f>O43/1.07^33</f>
        <v>1061498.0780471719</v>
      </c>
      <c r="O43" s="15">
        <f t="shared" si="1"/>
        <v>9898830.2262497209</v>
      </c>
      <c r="P43" s="57">
        <f>+'Travl Time Reduction'!J33</f>
        <v>1702169.0450179726</v>
      </c>
      <c r="Q43" s="237">
        <f>+'Fuel Savings'!G34</f>
        <v>203234.23902953111</v>
      </c>
      <c r="R43" s="237">
        <f>+NOx!H34</f>
        <v>100264.26513667201</v>
      </c>
      <c r="S43" s="237">
        <f>+'PM 2.5'!H34</f>
        <v>2691.5353405348092</v>
      </c>
      <c r="T43" s="237">
        <f>'SO2'!J34</f>
        <v>1101.882267</v>
      </c>
      <c r="U43" s="265">
        <f>(40-30)/40*(21604198)</f>
        <v>5401049.5</v>
      </c>
      <c r="V43" s="117">
        <f>'Cycling Journey'!H34</f>
        <v>921.53368576164439</v>
      </c>
      <c r="W43" s="8">
        <f>+'Health Benefits'!I34</f>
        <v>9413.7199491625561</v>
      </c>
      <c r="X43" s="28">
        <f>+'Stillman Acc Benefits'!J34</f>
        <v>1891343.251738885</v>
      </c>
      <c r="Y43" s="6"/>
      <c r="Z43" s="48">
        <f>+'Vehicle Operation'!I34</f>
        <v>586641.25408420106</v>
      </c>
    </row>
    <row r="44" spans="3:26" ht="16.5" thickBot="1" x14ac:dyDescent="0.3">
      <c r="C44" s="98" t="s">
        <v>2</v>
      </c>
      <c r="D44" s="99">
        <f>E44+J44+M44</f>
        <v>18137197.337323755</v>
      </c>
      <c r="E44" s="97">
        <f>SUM(E12:E43)</f>
        <v>558878.75135247223</v>
      </c>
      <c r="F44" s="22">
        <f>SUM(F12:F34)</f>
        <v>0</v>
      </c>
      <c r="G44" s="100">
        <f>SUM(G12:G34)</f>
        <v>0</v>
      </c>
      <c r="H44" s="101">
        <f>SUM(H13:H34)</f>
        <v>0</v>
      </c>
      <c r="I44" s="97">
        <f>SUM(I12:I43)</f>
        <v>1278377.148454905</v>
      </c>
      <c r="J44" s="120">
        <f>SUM(J11:J43)</f>
        <v>1373438.7282732115</v>
      </c>
      <c r="K44" s="330">
        <f>SUM(K11:K43)</f>
        <v>1500000</v>
      </c>
      <c r="L44" s="97">
        <f>SUM(L12:L43)</f>
        <v>20104198</v>
      </c>
      <c r="M44" s="97">
        <f>SUM(M12:M43)</f>
        <v>16204879.857698072</v>
      </c>
      <c r="N44" s="97">
        <f t="shared" ref="N44:T44" si="3">SUM(N14:N43)</f>
        <v>33826852.773967691</v>
      </c>
      <c r="O44" s="24">
        <f t="shared" si="3"/>
        <v>112188325.03522119</v>
      </c>
      <c r="P44" s="24">
        <f t="shared" si="3"/>
        <v>39095074.087117672</v>
      </c>
      <c r="Q44" s="24">
        <f t="shared" si="3"/>
        <v>5033400.8812945662</v>
      </c>
      <c r="R44" s="245">
        <f t="shared" si="3"/>
        <v>3005821.5619754409</v>
      </c>
      <c r="S44" s="245">
        <f t="shared" si="3"/>
        <v>80703.816916968819</v>
      </c>
      <c r="T44" s="246">
        <f t="shared" si="3"/>
        <v>33037.676219400018</v>
      </c>
      <c r="U44" s="187">
        <f>U43</f>
        <v>5401049.5</v>
      </c>
      <c r="V44" s="187">
        <f>SUM(V14:V43)</f>
        <v>21165.5991654141</v>
      </c>
      <c r="W44" s="246">
        <f>SUM(W14:W43)</f>
        <v>216212.41434572203</v>
      </c>
      <c r="X44" s="21">
        <f>SUM(X14:X43)</f>
        <v>46841953.578253798</v>
      </c>
      <c r="Y44" s="95"/>
      <c r="Z44" s="96">
        <f>SUM(Z14:Z43)</f>
        <v>12459905.919932215</v>
      </c>
    </row>
    <row r="45" spans="3:26" ht="15.75" thickBot="1" x14ac:dyDescent="0.3">
      <c r="F45" s="23" t="s">
        <v>68</v>
      </c>
      <c r="G45" s="41" t="e">
        <f>O44/(#REF!+Z44)</f>
        <v>#REF!</v>
      </c>
      <c r="H45" s="46"/>
      <c r="I45" s="46"/>
      <c r="J45" s="46"/>
      <c r="K45" s="46"/>
      <c r="R45" s="92"/>
      <c r="S45" s="92"/>
    </row>
    <row r="46" spans="3:26" ht="15.75" thickBot="1" x14ac:dyDescent="0.3">
      <c r="F46" s="17" t="s">
        <v>69</v>
      </c>
      <c r="G46" s="41">
        <f>M44/D44</f>
        <v>0.89346107649999207</v>
      </c>
      <c r="H46" s="47"/>
      <c r="I46" s="47"/>
      <c r="J46" s="47"/>
      <c r="K46" s="47"/>
      <c r="M46" s="17" t="s">
        <v>94</v>
      </c>
      <c r="N46" s="94">
        <f>O44/(L44+K44+I44)</f>
        <v>4.9027840751042593</v>
      </c>
    </row>
    <row r="47" spans="3:26" ht="15.75" thickBot="1" x14ac:dyDescent="0.3">
      <c r="M47" s="17" t="s">
        <v>141</v>
      </c>
      <c r="N47" s="94">
        <f>N44/(M44+J44+E44)</f>
        <v>1.8650540182609621</v>
      </c>
    </row>
    <row r="50" spans="5:5" x14ac:dyDescent="0.25">
      <c r="E50" s="43">
        <f>I44+K44+L44</f>
        <v>22882575.148454905</v>
      </c>
    </row>
    <row r="51" spans="5:5" x14ac:dyDescent="0.25">
      <c r="E51" s="43">
        <f>E44+J44+M44</f>
        <v>18137197.337323755</v>
      </c>
    </row>
  </sheetData>
  <mergeCells count="22">
    <mergeCell ref="Z9:Z10"/>
    <mergeCell ref="N8:N10"/>
    <mergeCell ref="V8:W8"/>
    <mergeCell ref="C5:X5"/>
    <mergeCell ref="C6:X6"/>
    <mergeCell ref="C7:C10"/>
    <mergeCell ref="D7:L7"/>
    <mergeCell ref="O7:X7"/>
    <mergeCell ref="D8:D10"/>
    <mergeCell ref="E8:E10"/>
    <mergeCell ref="F8:F10"/>
    <mergeCell ref="L8:L10"/>
    <mergeCell ref="X9:X10"/>
    <mergeCell ref="O8:O10"/>
    <mergeCell ref="P8:Q8"/>
    <mergeCell ref="R8:T8"/>
    <mergeCell ref="M8:M10"/>
    <mergeCell ref="P9:P10"/>
    <mergeCell ref="S9:S10"/>
    <mergeCell ref="Q9:Q10"/>
    <mergeCell ref="R9:R10"/>
    <mergeCell ref="T9:T10"/>
  </mergeCells>
  <pageMargins left="0.7" right="0.7" top="0.75" bottom="0.75" header="0.3" footer="0.3"/>
  <pageSetup scale="4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26BF-C3DE-4820-A47F-2B3A071EEE6D}">
  <sheetPr>
    <pageSetUpPr fitToPage="1"/>
  </sheetPr>
  <dimension ref="C2:M39"/>
  <sheetViews>
    <sheetView topLeftCell="A4" workbookViewId="0">
      <selection activeCell="F5" sqref="F5"/>
    </sheetView>
  </sheetViews>
  <sheetFormatPr defaultRowHeight="15" x14ac:dyDescent="0.25"/>
  <cols>
    <col min="3" max="3" width="14.140625" hidden="1" customWidth="1"/>
    <col min="4" max="4" width="17.28515625" customWidth="1"/>
    <col min="6" max="7" width="21.42578125" customWidth="1"/>
    <col min="8" max="8" width="12.28515625" hidden="1" customWidth="1"/>
    <col min="9" max="9" width="16.140625" customWidth="1"/>
  </cols>
  <sheetData>
    <row r="2" spans="3:12" ht="15.75" thickBot="1" x14ac:dyDescent="0.3"/>
    <row r="3" spans="3:12" ht="21.75" thickBot="1" x14ac:dyDescent="0.4">
      <c r="C3" s="210" t="s">
        <v>110</v>
      </c>
      <c r="D3" s="346" t="s">
        <v>155</v>
      </c>
      <c r="E3" s="347"/>
      <c r="F3" s="348"/>
    </row>
    <row r="4" spans="3:12" ht="79.5" thickBot="1" x14ac:dyDescent="0.3">
      <c r="C4" s="288" t="s">
        <v>111</v>
      </c>
      <c r="D4" s="214" t="s">
        <v>163</v>
      </c>
      <c r="E4" s="221" t="s">
        <v>0</v>
      </c>
      <c r="F4" s="221" t="s">
        <v>174</v>
      </c>
      <c r="G4" s="214" t="s">
        <v>176</v>
      </c>
      <c r="H4" s="222" t="s">
        <v>107</v>
      </c>
      <c r="I4" s="222" t="s">
        <v>162</v>
      </c>
      <c r="K4" s="296" t="s">
        <v>116</v>
      </c>
      <c r="L4" s="296" t="s">
        <v>117</v>
      </c>
    </row>
    <row r="5" spans="3:12" ht="16.5" thickBot="1" x14ac:dyDescent="0.3">
      <c r="C5" s="289">
        <f>M30</f>
        <v>0.27793589902239824</v>
      </c>
      <c r="D5" s="291">
        <v>1.5</v>
      </c>
      <c r="E5" s="122">
        <v>2029</v>
      </c>
      <c r="F5" s="145">
        <f>Assumptions!B39</f>
        <v>1.23</v>
      </c>
      <c r="G5" s="124">
        <f>(416*365)</f>
        <v>151840</v>
      </c>
      <c r="H5" s="146"/>
      <c r="I5" s="157">
        <f>D5*F5*G5</f>
        <v>280144.8</v>
      </c>
    </row>
    <row r="6" spans="3:12" ht="16.5" thickBot="1" x14ac:dyDescent="0.3">
      <c r="C6" s="289">
        <f>M30</f>
        <v>0.27793589902239824</v>
      </c>
      <c r="D6" s="291">
        <v>1.5</v>
      </c>
      <c r="E6" s="122">
        <f>E5+1</f>
        <v>2030</v>
      </c>
      <c r="F6" s="145">
        <f>F5*0.02+F5</f>
        <v>1.2545999999999999</v>
      </c>
      <c r="G6" s="124">
        <f t="shared" ref="G6:G34" si="0">G5*(1+0.0057)</f>
        <v>152705.48800000001</v>
      </c>
      <c r="H6" s="146"/>
      <c r="I6" s="157">
        <f t="shared" ref="I6:I34" si="1">D6*F6*G6</f>
        <v>287376.45786720002</v>
      </c>
    </row>
    <row r="7" spans="3:12" ht="16.5" thickBot="1" x14ac:dyDescent="0.3">
      <c r="C7" s="289">
        <v>0.27793589902239824</v>
      </c>
      <c r="D7" s="291">
        <v>1.5</v>
      </c>
      <c r="E7" s="122">
        <f t="shared" ref="E7:E34" si="2">E6+1</f>
        <v>2031</v>
      </c>
      <c r="F7" s="145">
        <f t="shared" ref="F7:F34" si="3">F6*0.02+F6</f>
        <v>1.2796919999999998</v>
      </c>
      <c r="G7" s="124">
        <f t="shared" si="0"/>
        <v>153575.9092816</v>
      </c>
      <c r="H7" s="146"/>
      <c r="I7" s="157">
        <f t="shared" si="1"/>
        <v>294794.79375058389</v>
      </c>
    </row>
    <row r="8" spans="3:12" ht="16.5" thickBot="1" x14ac:dyDescent="0.3">
      <c r="C8" s="289">
        <v>0.27793589902239824</v>
      </c>
      <c r="D8" s="291">
        <v>1.5</v>
      </c>
      <c r="E8" s="122">
        <f t="shared" si="2"/>
        <v>2032</v>
      </c>
      <c r="F8" s="145">
        <f t="shared" si="3"/>
        <v>1.3052858399999998</v>
      </c>
      <c r="G8" s="124">
        <f t="shared" si="0"/>
        <v>154451.29196450513</v>
      </c>
      <c r="H8" s="146"/>
      <c r="I8" s="157">
        <f t="shared" si="1"/>
        <v>302404.62655646144</v>
      </c>
    </row>
    <row r="9" spans="3:12" ht="16.5" thickBot="1" x14ac:dyDescent="0.3">
      <c r="C9" s="289">
        <v>0.27793589902239824</v>
      </c>
      <c r="D9" s="291">
        <v>1.5</v>
      </c>
      <c r="E9" s="122">
        <f t="shared" si="2"/>
        <v>2033</v>
      </c>
      <c r="F9" s="145">
        <f t="shared" si="3"/>
        <v>1.3313915567999999</v>
      </c>
      <c r="G9" s="124">
        <f t="shared" si="0"/>
        <v>155331.66432870281</v>
      </c>
      <c r="H9" s="146"/>
      <c r="I9" s="157">
        <f t="shared" si="1"/>
        <v>310210.89958638995</v>
      </c>
    </row>
    <row r="10" spans="3:12" ht="16.5" thickBot="1" x14ac:dyDescent="0.3">
      <c r="C10" s="289">
        <v>0.27793589902239824</v>
      </c>
      <c r="D10" s="291">
        <v>1.5</v>
      </c>
      <c r="E10" s="122">
        <f t="shared" si="2"/>
        <v>2034</v>
      </c>
      <c r="F10" s="145">
        <f t="shared" si="3"/>
        <v>1.3580193879359999</v>
      </c>
      <c r="G10" s="124">
        <f t="shared" si="0"/>
        <v>156217.05481537641</v>
      </c>
      <c r="H10" s="146"/>
      <c r="I10" s="157">
        <f t="shared" si="1"/>
        <v>318218.68374831299</v>
      </c>
    </row>
    <row r="11" spans="3:12" ht="16.5" thickBot="1" x14ac:dyDescent="0.3">
      <c r="C11" s="289">
        <v>0.27793589902239824</v>
      </c>
      <c r="D11" s="291">
        <v>1.5</v>
      </c>
      <c r="E11" s="122">
        <f t="shared" si="2"/>
        <v>2035</v>
      </c>
      <c r="F11" s="145">
        <f t="shared" si="3"/>
        <v>1.38517977569472</v>
      </c>
      <c r="G11" s="124">
        <f t="shared" si="0"/>
        <v>157107.49202782408</v>
      </c>
      <c r="H11" s="146"/>
      <c r="I11" s="157">
        <f t="shared" si="1"/>
        <v>326433.18085059203</v>
      </c>
    </row>
    <row r="12" spans="3:12" ht="16.5" thickBot="1" x14ac:dyDescent="0.3">
      <c r="C12" s="289">
        <v>0.27793589902239824</v>
      </c>
      <c r="D12" s="291">
        <v>1.5</v>
      </c>
      <c r="E12" s="122">
        <f t="shared" si="2"/>
        <v>2036</v>
      </c>
      <c r="F12" s="145">
        <f t="shared" si="3"/>
        <v>1.4128833712086144</v>
      </c>
      <c r="G12" s="124">
        <f t="shared" si="0"/>
        <v>158003.00473238269</v>
      </c>
      <c r="H12" s="146"/>
      <c r="I12" s="157">
        <f t="shared" si="1"/>
        <v>334859.72698106925</v>
      </c>
    </row>
    <row r="13" spans="3:12" ht="16.5" thickBot="1" x14ac:dyDescent="0.3">
      <c r="C13" s="289">
        <v>0.27793589902239824</v>
      </c>
      <c r="D13" s="291">
        <v>1.5</v>
      </c>
      <c r="E13" s="122">
        <f t="shared" si="2"/>
        <v>2037</v>
      </c>
      <c r="F13" s="145">
        <f t="shared" si="3"/>
        <v>1.4411410386327868</v>
      </c>
      <c r="G13" s="124">
        <f t="shared" si="0"/>
        <v>158903.62185935728</v>
      </c>
      <c r="H13" s="146"/>
      <c r="I13" s="157">
        <f t="shared" si="1"/>
        <v>343503.79597335862</v>
      </c>
    </row>
    <row r="14" spans="3:12" ht="16.5" thickBot="1" x14ac:dyDescent="0.3">
      <c r="C14" s="289">
        <v>0.27793589902239824</v>
      </c>
      <c r="D14" s="291">
        <v>1.5</v>
      </c>
      <c r="E14" s="122">
        <f t="shared" si="2"/>
        <v>2038</v>
      </c>
      <c r="F14" s="145">
        <f t="shared" si="3"/>
        <v>1.4699638594054425</v>
      </c>
      <c r="G14" s="124">
        <f t="shared" si="0"/>
        <v>159809.37250395562</v>
      </c>
      <c r="H14" s="146"/>
      <c r="I14" s="157">
        <f t="shared" si="1"/>
        <v>352371.00296261488</v>
      </c>
    </row>
    <row r="15" spans="3:12" ht="16.5" thickBot="1" x14ac:dyDescent="0.3">
      <c r="C15" s="289">
        <v>0.27793589902239824</v>
      </c>
      <c r="D15" s="291">
        <v>1.5</v>
      </c>
      <c r="E15" s="122">
        <f t="shared" si="2"/>
        <v>2039</v>
      </c>
      <c r="F15" s="145">
        <f t="shared" si="3"/>
        <v>1.4993631365935514</v>
      </c>
      <c r="G15" s="124">
        <f t="shared" si="0"/>
        <v>160720.28592722816</v>
      </c>
      <c r="H15" s="146"/>
      <c r="I15" s="157">
        <f t="shared" si="1"/>
        <v>361467.10803309182</v>
      </c>
    </row>
    <row r="16" spans="3:12" ht="16.5" thickBot="1" x14ac:dyDescent="0.3">
      <c r="C16" s="289">
        <v>0.27793589902239824</v>
      </c>
      <c r="D16" s="291">
        <v>1.5</v>
      </c>
      <c r="E16" s="122">
        <f t="shared" si="2"/>
        <v>2040</v>
      </c>
      <c r="F16" s="145">
        <f t="shared" si="3"/>
        <v>1.5293503993254225</v>
      </c>
      <c r="G16" s="124">
        <f t="shared" si="0"/>
        <v>161636.39155701338</v>
      </c>
      <c r="H16" s="146"/>
      <c r="I16" s="157">
        <f t="shared" si="1"/>
        <v>370798.01995985815</v>
      </c>
    </row>
    <row r="17" spans="3:13" ht="16.5" thickBot="1" x14ac:dyDescent="0.3">
      <c r="C17" s="289">
        <v>0.27793589902239824</v>
      </c>
      <c r="D17" s="291">
        <v>1.5</v>
      </c>
      <c r="E17" s="122">
        <f t="shared" si="2"/>
        <v>2041</v>
      </c>
      <c r="F17" s="145">
        <f t="shared" si="3"/>
        <v>1.559937407311931</v>
      </c>
      <c r="G17" s="124">
        <f t="shared" si="0"/>
        <v>162557.71898888837</v>
      </c>
      <c r="H17" s="146"/>
      <c r="I17" s="157">
        <f t="shared" si="1"/>
        <v>380369.80004710192</v>
      </c>
    </row>
    <row r="18" spans="3:13" ht="16.5" thickBot="1" x14ac:dyDescent="0.3">
      <c r="C18" s="289">
        <v>0.27793589902239824</v>
      </c>
      <c r="D18" s="291">
        <v>1.5</v>
      </c>
      <c r="E18" s="122">
        <f t="shared" si="2"/>
        <v>2042</v>
      </c>
      <c r="F18" s="145">
        <f t="shared" si="3"/>
        <v>1.5911361554581696</v>
      </c>
      <c r="G18" s="124">
        <f t="shared" si="0"/>
        <v>163484.29798712506</v>
      </c>
      <c r="H18" s="146"/>
      <c r="I18" s="157">
        <f t="shared" si="1"/>
        <v>390188.66606551787</v>
      </c>
    </row>
    <row r="19" spans="3:13" ht="16.5" thickBot="1" x14ac:dyDescent="0.3">
      <c r="C19" s="289">
        <v>0.27793589902239824</v>
      </c>
      <c r="D19" s="291">
        <v>1.5</v>
      </c>
      <c r="E19" s="122">
        <f t="shared" si="2"/>
        <v>2043</v>
      </c>
      <c r="F19" s="145">
        <f t="shared" si="3"/>
        <v>1.622958878567333</v>
      </c>
      <c r="G19" s="124">
        <f t="shared" si="0"/>
        <v>164416.15848565169</v>
      </c>
      <c r="H19" s="146"/>
      <c r="I19" s="157">
        <f t="shared" si="1"/>
        <v>400260.99629133323</v>
      </c>
    </row>
    <row r="20" spans="3:13" ht="16.5" thickBot="1" x14ac:dyDescent="0.3">
      <c r="C20" s="289">
        <v>0.27793589902239824</v>
      </c>
      <c r="D20" s="291">
        <v>1.5</v>
      </c>
      <c r="E20" s="122">
        <f t="shared" si="2"/>
        <v>2044</v>
      </c>
      <c r="F20" s="145">
        <f t="shared" si="3"/>
        <v>1.6554180561386798</v>
      </c>
      <c r="G20" s="124">
        <f t="shared" si="0"/>
        <v>165353.3305890199</v>
      </c>
      <c r="H20" s="146"/>
      <c r="I20" s="157">
        <f t="shared" si="1"/>
        <v>410593.33364959771</v>
      </c>
    </row>
    <row r="21" spans="3:13" ht="16.5" thickBot="1" x14ac:dyDescent="0.3">
      <c r="C21" s="289">
        <v>0.27793589902239824</v>
      </c>
      <c r="D21" s="291">
        <v>1.5</v>
      </c>
      <c r="E21" s="122">
        <f t="shared" si="2"/>
        <v>2045</v>
      </c>
      <c r="F21" s="145">
        <f t="shared" si="3"/>
        <v>1.6885264172614534</v>
      </c>
      <c r="G21" s="124">
        <f t="shared" si="0"/>
        <v>166295.84457337731</v>
      </c>
      <c r="H21" s="146"/>
      <c r="I21" s="157">
        <f t="shared" si="1"/>
        <v>421192.38996442844</v>
      </c>
    </row>
    <row r="22" spans="3:13" ht="16.5" thickBot="1" x14ac:dyDescent="0.3">
      <c r="C22" s="289">
        <v>0.27793589902239824</v>
      </c>
      <c r="D22" s="291">
        <v>1.5</v>
      </c>
      <c r="E22" s="122">
        <f t="shared" si="2"/>
        <v>2046</v>
      </c>
      <c r="F22" s="145">
        <f t="shared" si="3"/>
        <v>1.7222969456066823</v>
      </c>
      <c r="G22" s="124">
        <f t="shared" si="0"/>
        <v>167243.73088744556</v>
      </c>
      <c r="H22" s="146"/>
      <c r="I22" s="157">
        <f t="shared" si="1"/>
        <v>432065.05031897011</v>
      </c>
    </row>
    <row r="23" spans="3:13" ht="16.5" thickBot="1" x14ac:dyDescent="0.3">
      <c r="C23" s="289">
        <v>0.27793589902239824</v>
      </c>
      <c r="D23" s="291">
        <v>1.5</v>
      </c>
      <c r="E23" s="122">
        <f t="shared" si="2"/>
        <v>2047</v>
      </c>
      <c r="F23" s="145">
        <f t="shared" si="3"/>
        <v>1.756742884518816</v>
      </c>
      <c r="G23" s="124">
        <f t="shared" si="0"/>
        <v>168197.02015350401</v>
      </c>
      <c r="H23" s="146"/>
      <c r="I23" s="157">
        <f t="shared" si="1"/>
        <v>443218.37752790406</v>
      </c>
    </row>
    <row r="24" spans="3:13" ht="16.5" thickBot="1" x14ac:dyDescent="0.3">
      <c r="C24" s="289">
        <v>0.27793589902239824</v>
      </c>
      <c r="D24" s="291">
        <v>1.5</v>
      </c>
      <c r="E24" s="122">
        <f t="shared" si="2"/>
        <v>2048</v>
      </c>
      <c r="F24" s="145">
        <f t="shared" si="3"/>
        <v>1.7918777422091923</v>
      </c>
      <c r="G24" s="124">
        <f t="shared" si="0"/>
        <v>169155.74316837898</v>
      </c>
      <c r="H24" s="146"/>
      <c r="I24" s="157">
        <f t="shared" si="1"/>
        <v>454659.6167254094</v>
      </c>
    </row>
    <row r="25" spans="3:13" ht="16.5" thickBot="1" x14ac:dyDescent="0.3">
      <c r="C25" s="289">
        <v>0.27793589902239824</v>
      </c>
      <c r="D25" s="291">
        <v>1.5</v>
      </c>
      <c r="E25" s="122">
        <f t="shared" si="2"/>
        <v>2049</v>
      </c>
      <c r="F25" s="145">
        <f t="shared" si="3"/>
        <v>1.8277152970533761</v>
      </c>
      <c r="G25" s="124">
        <f t="shared" si="0"/>
        <v>170119.93090443875</v>
      </c>
      <c r="H25" s="147"/>
      <c r="I25" s="157">
        <f t="shared" si="1"/>
        <v>466396.20007155911</v>
      </c>
    </row>
    <row r="26" spans="3:13" ht="16.5" thickBot="1" x14ac:dyDescent="0.3">
      <c r="C26" s="289">
        <v>0.27793589902239824</v>
      </c>
      <c r="D26" s="291">
        <v>1.5</v>
      </c>
      <c r="E26" s="122">
        <f t="shared" si="2"/>
        <v>2050</v>
      </c>
      <c r="F26" s="145">
        <f t="shared" si="3"/>
        <v>1.8642696029944437</v>
      </c>
      <c r="G26" s="124">
        <f t="shared" si="0"/>
        <v>171089.61451059405</v>
      </c>
      <c r="H26" s="147"/>
      <c r="I26" s="157">
        <f t="shared" si="1"/>
        <v>478435.75158020633</v>
      </c>
    </row>
    <row r="27" spans="3:13" ht="16.5" thickBot="1" x14ac:dyDescent="0.3">
      <c r="C27" s="289">
        <v>0.27793589902239824</v>
      </c>
      <c r="D27" s="291">
        <v>1.5</v>
      </c>
      <c r="E27" s="122">
        <f t="shared" si="2"/>
        <v>2051</v>
      </c>
      <c r="F27" s="145">
        <f t="shared" si="3"/>
        <v>1.9015549950543325</v>
      </c>
      <c r="G27" s="124">
        <f t="shared" si="0"/>
        <v>172064.82531330443</v>
      </c>
      <c r="H27" s="147"/>
      <c r="I27" s="157">
        <f t="shared" si="1"/>
        <v>490786.09207149781</v>
      </c>
    </row>
    <row r="28" spans="3:13" ht="16.5" thickBot="1" x14ac:dyDescent="0.3">
      <c r="C28" s="289">
        <v>0.27793589902239824</v>
      </c>
      <c r="D28" s="291">
        <v>1.5</v>
      </c>
      <c r="E28" s="122">
        <f t="shared" si="2"/>
        <v>2052</v>
      </c>
      <c r="F28" s="145">
        <f t="shared" si="3"/>
        <v>1.9395860949554191</v>
      </c>
      <c r="G28" s="124">
        <f t="shared" si="0"/>
        <v>173045.59481759029</v>
      </c>
      <c r="H28" s="147"/>
      <c r="I28" s="157">
        <f t="shared" si="1"/>
        <v>503455.2442522315</v>
      </c>
    </row>
    <row r="29" spans="3:13" ht="16.5" thickBot="1" x14ac:dyDescent="0.3">
      <c r="C29" s="289">
        <v>0.27793589902239824</v>
      </c>
      <c r="D29" s="291">
        <v>1.5</v>
      </c>
      <c r="E29" s="122">
        <f t="shared" si="2"/>
        <v>2053</v>
      </c>
      <c r="F29" s="145">
        <f t="shared" si="3"/>
        <v>1.9783778168545274</v>
      </c>
      <c r="G29" s="124">
        <f t="shared" si="0"/>
        <v>174031.95470805056</v>
      </c>
      <c r="H29" s="147"/>
      <c r="I29" s="157">
        <f t="shared" si="1"/>
        <v>516451.43792735861</v>
      </c>
    </row>
    <row r="30" spans="3:13" ht="16.5" thickBot="1" x14ac:dyDescent="0.3">
      <c r="C30" s="289">
        <v>0.27793589902239824</v>
      </c>
      <c r="D30" s="291">
        <v>1.5</v>
      </c>
      <c r="E30" s="122">
        <f t="shared" si="2"/>
        <v>2054</v>
      </c>
      <c r="F30" s="145">
        <f t="shared" si="3"/>
        <v>2.0179453731916182</v>
      </c>
      <c r="G30" s="124">
        <f t="shared" si="0"/>
        <v>175023.93684988646</v>
      </c>
      <c r="H30" s="147"/>
      <c r="I30" s="157">
        <f t="shared" si="1"/>
        <v>529783.11534601555</v>
      </c>
      <c r="K30">
        <f>49.58+31.23</f>
        <v>80.81</v>
      </c>
      <c r="L30">
        <v>22.46</v>
      </c>
      <c r="M30">
        <f>1-(K30-L30)/K30</f>
        <v>0.27793589902239824</v>
      </c>
    </row>
    <row r="31" spans="3:13" ht="16.5" thickBot="1" x14ac:dyDescent="0.3">
      <c r="C31" s="289">
        <v>0.27793589902239824</v>
      </c>
      <c r="D31" s="291">
        <v>1.5</v>
      </c>
      <c r="E31" s="122">
        <f t="shared" si="2"/>
        <v>2055</v>
      </c>
      <c r="F31" s="145">
        <f t="shared" si="3"/>
        <v>2.0583042806554506</v>
      </c>
      <c r="G31" s="124">
        <f t="shared" si="0"/>
        <v>176021.57328993082</v>
      </c>
      <c r="H31" s="147"/>
      <c r="I31" s="157">
        <f t="shared" si="1"/>
        <v>543458.93668555759</v>
      </c>
    </row>
    <row r="32" spans="3:13" ht="16.5" thickBot="1" x14ac:dyDescent="0.3">
      <c r="C32" s="289">
        <v>0.27793589902239824</v>
      </c>
      <c r="D32" s="291">
        <v>1.5</v>
      </c>
      <c r="E32" s="122">
        <f t="shared" si="2"/>
        <v>2056</v>
      </c>
      <c r="F32" s="145">
        <f t="shared" si="3"/>
        <v>2.0994703662685597</v>
      </c>
      <c r="G32" s="124">
        <f t="shared" si="0"/>
        <v>177024.89625768343</v>
      </c>
      <c r="H32" s="147"/>
      <c r="I32" s="157">
        <f t="shared" si="1"/>
        <v>557487.78567715862</v>
      </c>
    </row>
    <row r="33" spans="3:9" ht="16.5" thickBot="1" x14ac:dyDescent="0.3">
      <c r="C33" s="289">
        <v>0.27793589902239824</v>
      </c>
      <c r="D33" s="291">
        <v>1.5</v>
      </c>
      <c r="E33" s="122">
        <f t="shared" si="2"/>
        <v>2057</v>
      </c>
      <c r="F33" s="145">
        <f t="shared" si="3"/>
        <v>2.1414597735939309</v>
      </c>
      <c r="G33" s="124">
        <f t="shared" si="0"/>
        <v>178033.93816635222</v>
      </c>
      <c r="H33" s="147"/>
      <c r="I33" s="157">
        <f t="shared" si="1"/>
        <v>571878.77537662874</v>
      </c>
    </row>
    <row r="34" spans="3:9" ht="16.5" thickBot="1" x14ac:dyDescent="0.3">
      <c r="C34" s="289">
        <v>0.27793589902239824</v>
      </c>
      <c r="D34" s="291">
        <v>1.5</v>
      </c>
      <c r="E34" s="122">
        <f t="shared" si="2"/>
        <v>2058</v>
      </c>
      <c r="F34" s="145">
        <f t="shared" si="3"/>
        <v>2.1842889690658094</v>
      </c>
      <c r="G34" s="124">
        <f t="shared" si="0"/>
        <v>179048.73161390043</v>
      </c>
      <c r="H34" s="147"/>
      <c r="I34" s="157">
        <f t="shared" si="1"/>
        <v>586641.25408420106</v>
      </c>
    </row>
    <row r="35" spans="3:9" ht="16.5" thickBot="1" x14ac:dyDescent="0.3">
      <c r="C35" s="290" t="s">
        <v>103</v>
      </c>
      <c r="D35" s="292" t="s">
        <v>103</v>
      </c>
      <c r="E35" s="132" t="s">
        <v>103</v>
      </c>
      <c r="F35" s="133" t="s">
        <v>103</v>
      </c>
      <c r="G35" s="158" t="s">
        <v>103</v>
      </c>
      <c r="H35" s="156"/>
      <c r="I35" s="159">
        <f>SUM(I5:I34)</f>
        <v>12459905.919932215</v>
      </c>
    </row>
    <row r="37" spans="3:9" ht="30.6" customHeight="1" x14ac:dyDescent="0.25">
      <c r="C37" s="345" t="s">
        <v>175</v>
      </c>
      <c r="D37" s="345"/>
      <c r="E37" s="345"/>
      <c r="F37" s="345"/>
    </row>
    <row r="38" spans="3:9" x14ac:dyDescent="0.25">
      <c r="C38" t="s">
        <v>147</v>
      </c>
    </row>
    <row r="39" spans="3:9" x14ac:dyDescent="0.25">
      <c r="C39" t="s">
        <v>118</v>
      </c>
    </row>
  </sheetData>
  <mergeCells count="2">
    <mergeCell ref="C37:F37"/>
    <mergeCell ref="D3:F3"/>
  </mergeCells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4853-BB2F-4052-A115-853DE6DB989A}">
  <dimension ref="B2:I38"/>
  <sheetViews>
    <sheetView workbookViewId="0">
      <selection activeCell="I7" sqref="I7"/>
    </sheetView>
  </sheetViews>
  <sheetFormatPr defaultRowHeight="15" x14ac:dyDescent="0.25"/>
  <cols>
    <col min="2" max="2" width="12.28515625" hidden="1" customWidth="1"/>
    <col min="3" max="3" width="12.140625" hidden="1" customWidth="1"/>
    <col min="4" max="4" width="10.140625" hidden="1" customWidth="1"/>
    <col min="5" max="5" width="19.5703125" customWidth="1"/>
    <col min="6" max="6" width="10.85546875" customWidth="1"/>
    <col min="7" max="7" width="14.28515625" customWidth="1"/>
    <col min="8" max="8" width="10.5703125" hidden="1" customWidth="1"/>
    <col min="9" max="9" width="14.42578125" customWidth="1"/>
  </cols>
  <sheetData>
    <row r="2" spans="2:9" ht="15.75" thickBot="1" x14ac:dyDescent="0.3"/>
    <row r="3" spans="2:9" ht="21.75" thickBot="1" x14ac:dyDescent="0.4">
      <c r="B3" s="223" t="s">
        <v>119</v>
      </c>
      <c r="C3" s="211"/>
      <c r="D3" s="192"/>
      <c r="E3" s="350" t="s">
        <v>119</v>
      </c>
      <c r="F3" s="351"/>
      <c r="G3" s="352"/>
    </row>
    <row r="4" spans="2:9" ht="95.25" thickBot="1" x14ac:dyDescent="0.3">
      <c r="B4" s="220" t="s">
        <v>105</v>
      </c>
      <c r="C4" s="214" t="s">
        <v>112</v>
      </c>
      <c r="D4" s="221" t="s">
        <v>106</v>
      </c>
      <c r="E4" s="214" t="s">
        <v>198</v>
      </c>
      <c r="F4" s="221" t="s">
        <v>0</v>
      </c>
      <c r="G4" s="221" t="s">
        <v>188</v>
      </c>
      <c r="H4" s="222" t="s">
        <v>107</v>
      </c>
      <c r="I4" s="222" t="s">
        <v>167</v>
      </c>
    </row>
    <row r="5" spans="2:9" ht="16.5" thickBot="1" x14ac:dyDescent="0.3">
      <c r="B5" s="234">
        <v>0.86399999999999999</v>
      </c>
      <c r="C5" s="184">
        <f>B5/365</f>
        <v>2.3671232876712328E-3</v>
      </c>
      <c r="D5" s="122">
        <v>2.5</v>
      </c>
      <c r="E5" s="293">
        <f>Assumptions!B22*(1+0.0138)^4</f>
        <v>7.869831254737683</v>
      </c>
      <c r="F5" s="122">
        <v>2029</v>
      </c>
      <c r="G5" s="124">
        <f>650*(1+0.016)^3</f>
        <v>681.70186239999998</v>
      </c>
      <c r="H5" s="125"/>
      <c r="I5" s="126">
        <f>E5*G5</f>
        <v>5364.8786231284075</v>
      </c>
    </row>
    <row r="6" spans="2:9" ht="16.5" thickBot="1" x14ac:dyDescent="0.3">
      <c r="B6" s="234">
        <f t="shared" ref="B6:B33" si="0">B5+(0.864)</f>
        <v>1.728</v>
      </c>
      <c r="C6" s="181">
        <f t="shared" ref="C6:C34" si="1">B6/365</f>
        <v>4.7342465753424656E-3</v>
      </c>
      <c r="D6" s="122">
        <v>2.5</v>
      </c>
      <c r="E6" s="293">
        <f>(E5*0.0138)+E5</f>
        <v>7.9784349260530627</v>
      </c>
      <c r="F6" s="122">
        <f>(F5+1)</f>
        <v>2030</v>
      </c>
      <c r="G6" s="124">
        <f t="shared" ref="G6:G34" si="2">G5*(1+0.0057)</f>
        <v>685.58756301567996</v>
      </c>
      <c r="H6" s="125"/>
      <c r="I6" s="126">
        <f t="shared" ref="I6:I34" si="3">E6*G6</f>
        <v>5469.9157576319058</v>
      </c>
    </row>
    <row r="7" spans="2:9" ht="16.5" thickBot="1" x14ac:dyDescent="0.3">
      <c r="B7" s="234">
        <f t="shared" si="0"/>
        <v>2.5920000000000001</v>
      </c>
      <c r="C7" s="181">
        <f t="shared" si="1"/>
        <v>7.1013698630136984E-3</v>
      </c>
      <c r="D7" s="122">
        <v>2.5</v>
      </c>
      <c r="E7" s="293">
        <f t="shared" ref="E7:E34" si="4">(E6*0.0138)+E6</f>
        <v>8.0885373280325954</v>
      </c>
      <c r="F7" s="122">
        <f t="shared" ref="F7:F28" si="5">(F6+1)</f>
        <v>2031</v>
      </c>
      <c r="G7" s="124">
        <f t="shared" si="2"/>
        <v>689.4954121248694</v>
      </c>
      <c r="H7" s="125"/>
      <c r="I7" s="126">
        <f t="shared" si="3"/>
        <v>5577.0093784792243</v>
      </c>
    </row>
    <row r="8" spans="2:9" ht="16.5" thickBot="1" x14ac:dyDescent="0.3">
      <c r="B8" s="234">
        <f t="shared" si="0"/>
        <v>3.456</v>
      </c>
      <c r="C8" s="181">
        <f t="shared" si="1"/>
        <v>9.4684931506849312E-3</v>
      </c>
      <c r="D8" s="122">
        <v>2.5</v>
      </c>
      <c r="E8" s="293">
        <f t="shared" si="4"/>
        <v>8.2001591431594445</v>
      </c>
      <c r="F8" s="122">
        <f t="shared" si="5"/>
        <v>2032</v>
      </c>
      <c r="G8" s="124">
        <f t="shared" si="2"/>
        <v>693.42553597398114</v>
      </c>
      <c r="H8" s="127"/>
      <c r="I8" s="126">
        <f t="shared" si="3"/>
        <v>5686.19974891728</v>
      </c>
    </row>
    <row r="9" spans="2:9" ht="16.5" thickBot="1" x14ac:dyDescent="0.3">
      <c r="B9" s="234">
        <f t="shared" si="0"/>
        <v>4.32</v>
      </c>
      <c r="C9" s="181">
        <f t="shared" si="1"/>
        <v>1.1835616438356166E-2</v>
      </c>
      <c r="D9" s="122">
        <v>2.5</v>
      </c>
      <c r="E9" s="293">
        <f t="shared" si="4"/>
        <v>8.3133213393350456</v>
      </c>
      <c r="F9" s="122">
        <f t="shared" si="5"/>
        <v>2033</v>
      </c>
      <c r="G9" s="124">
        <f t="shared" si="2"/>
        <v>697.37806152903283</v>
      </c>
      <c r="H9" s="128"/>
      <c r="I9" s="126">
        <f t="shared" si="3"/>
        <v>5797.5279204934168</v>
      </c>
    </row>
    <row r="10" spans="2:9" ht="16.5" thickBot="1" x14ac:dyDescent="0.3">
      <c r="B10" s="234">
        <f t="shared" si="0"/>
        <v>5.1840000000000002</v>
      </c>
      <c r="C10" s="181">
        <f t="shared" si="1"/>
        <v>1.4202739726027397E-2</v>
      </c>
      <c r="D10" s="122">
        <v>2.5</v>
      </c>
      <c r="E10" s="293">
        <f t="shared" si="4"/>
        <v>8.4280451738178694</v>
      </c>
      <c r="F10" s="122">
        <f t="shared" si="5"/>
        <v>2034</v>
      </c>
      <c r="G10" s="124">
        <f t="shared" si="2"/>
        <v>701.35311647974834</v>
      </c>
      <c r="H10" s="125"/>
      <c r="I10" s="126">
        <f t="shared" si="3"/>
        <v>5911.0357484892647</v>
      </c>
    </row>
    <row r="11" spans="2:9" ht="16.5" thickBot="1" x14ac:dyDescent="0.3">
      <c r="B11" s="234">
        <f t="shared" si="0"/>
        <v>6.048</v>
      </c>
      <c r="C11" s="181">
        <f t="shared" si="1"/>
        <v>1.656986301369863E-2</v>
      </c>
      <c r="D11" s="122">
        <v>2.5</v>
      </c>
      <c r="E11" s="293">
        <f t="shared" si="4"/>
        <v>8.5443521972165559</v>
      </c>
      <c r="F11" s="122">
        <f t="shared" si="5"/>
        <v>2035</v>
      </c>
      <c r="G11" s="124">
        <f t="shared" si="2"/>
        <v>705.35082924368294</v>
      </c>
      <c r="H11" s="125"/>
      <c r="I11" s="126">
        <f t="shared" si="3"/>
        <v>6026.7659076567825</v>
      </c>
    </row>
    <row r="12" spans="2:9" ht="16.5" thickBot="1" x14ac:dyDescent="0.3">
      <c r="B12" s="234">
        <f t="shared" si="0"/>
        <v>6.9119999999999999</v>
      </c>
      <c r="C12" s="181">
        <f t="shared" si="1"/>
        <v>1.8936986301369862E-2</v>
      </c>
      <c r="D12" s="122">
        <v>2.5</v>
      </c>
      <c r="E12" s="293">
        <f t="shared" si="4"/>
        <v>8.6622642575381441</v>
      </c>
      <c r="F12" s="122">
        <f t="shared" si="5"/>
        <v>2036</v>
      </c>
      <c r="G12" s="124">
        <f t="shared" si="2"/>
        <v>709.37132897037191</v>
      </c>
      <c r="H12" s="127"/>
      <c r="I12" s="126">
        <f t="shared" si="3"/>
        <v>6144.7619082623851</v>
      </c>
    </row>
    <row r="13" spans="2:9" ht="16.5" thickBot="1" x14ac:dyDescent="0.3">
      <c r="B13" s="234">
        <f t="shared" si="0"/>
        <v>7.7759999999999998</v>
      </c>
      <c r="C13" s="181">
        <f t="shared" si="1"/>
        <v>2.1304109589041095E-2</v>
      </c>
      <c r="D13" s="122">
        <v>2.5</v>
      </c>
      <c r="E13" s="293">
        <f t="shared" si="4"/>
        <v>8.7818035042921707</v>
      </c>
      <c r="F13" s="122">
        <f t="shared" si="5"/>
        <v>2037</v>
      </c>
      <c r="G13" s="124">
        <f t="shared" si="2"/>
        <v>713.41474554550302</v>
      </c>
      <c r="H13" s="129"/>
      <c r="I13" s="126">
        <f t="shared" si="3"/>
        <v>6265.0681124452058</v>
      </c>
    </row>
    <row r="14" spans="2:9" ht="16.5" thickBot="1" x14ac:dyDescent="0.3">
      <c r="B14" s="234">
        <f t="shared" si="0"/>
        <v>8.64</v>
      </c>
      <c r="C14" s="181">
        <f t="shared" si="1"/>
        <v>2.3671232876712332E-2</v>
      </c>
      <c r="D14" s="122">
        <v>2.5</v>
      </c>
      <c r="E14" s="293">
        <f t="shared" si="4"/>
        <v>8.9029923926514023</v>
      </c>
      <c r="F14" s="122">
        <f t="shared" si="5"/>
        <v>2038</v>
      </c>
      <c r="G14" s="124">
        <f t="shared" si="2"/>
        <v>717.48120959511243</v>
      </c>
      <c r="H14" s="130"/>
      <c r="I14" s="126">
        <f t="shared" si="3"/>
        <v>6387.7297508956126</v>
      </c>
    </row>
    <row r="15" spans="2:9" ht="16.5" thickBot="1" x14ac:dyDescent="0.3">
      <c r="B15" s="234">
        <f t="shared" si="0"/>
        <v>9.5040000000000013</v>
      </c>
      <c r="C15" s="181">
        <f t="shared" si="1"/>
        <v>2.6038356164383564E-2</v>
      </c>
      <c r="D15" s="122">
        <v>2.5</v>
      </c>
      <c r="E15" s="293">
        <f t="shared" si="4"/>
        <v>9.0258536876699917</v>
      </c>
      <c r="F15" s="122">
        <f t="shared" si="5"/>
        <v>2039</v>
      </c>
      <c r="G15" s="124">
        <f t="shared" si="2"/>
        <v>721.57085248980457</v>
      </c>
      <c r="H15" s="128"/>
      <c r="I15" s="126">
        <f t="shared" si="3"/>
        <v>6512.7929398602819</v>
      </c>
    </row>
    <row r="16" spans="2:9" ht="16.5" thickBot="1" x14ac:dyDescent="0.3">
      <c r="B16" s="234">
        <f t="shared" si="0"/>
        <v>10.368000000000002</v>
      </c>
      <c r="C16" s="181">
        <f t="shared" si="1"/>
        <v>2.8405479452054801E-2</v>
      </c>
      <c r="D16" s="122">
        <v>2.5</v>
      </c>
      <c r="E16" s="293">
        <f t="shared" si="4"/>
        <v>9.1504104685598371</v>
      </c>
      <c r="F16" s="122">
        <f t="shared" si="5"/>
        <v>2040</v>
      </c>
      <c r="G16" s="124">
        <f t="shared" si="2"/>
        <v>725.68380634899643</v>
      </c>
      <c r="H16" s="125"/>
      <c r="I16" s="126">
        <f t="shared" si="3"/>
        <v>6640.3046984802068</v>
      </c>
    </row>
    <row r="17" spans="2:9" ht="16.5" thickBot="1" x14ac:dyDescent="0.3">
      <c r="B17" s="234">
        <f t="shared" si="0"/>
        <v>11.232000000000003</v>
      </c>
      <c r="C17" s="181">
        <f t="shared" si="1"/>
        <v>3.0772602739726037E-2</v>
      </c>
      <c r="D17" s="122">
        <v>2.5</v>
      </c>
      <c r="E17" s="293">
        <f t="shared" si="4"/>
        <v>9.2766861330259633</v>
      </c>
      <c r="F17" s="122">
        <f t="shared" si="5"/>
        <v>2041</v>
      </c>
      <c r="G17" s="124">
        <f t="shared" si="2"/>
        <v>729.82020404518573</v>
      </c>
      <c r="H17" s="131"/>
      <c r="I17" s="126">
        <f t="shared" si="3"/>
        <v>6770.3129664681537</v>
      </c>
    </row>
    <row r="18" spans="2:9" ht="16.5" thickBot="1" x14ac:dyDescent="0.3">
      <c r="B18" s="234">
        <f t="shared" si="0"/>
        <v>12.096000000000004</v>
      </c>
      <c r="C18" s="181">
        <f t="shared" si="1"/>
        <v>3.3139726027397273E-2</v>
      </c>
      <c r="D18" s="122">
        <v>2.5</v>
      </c>
      <c r="E18" s="293">
        <f t="shared" si="4"/>
        <v>9.4047044016617214</v>
      </c>
      <c r="F18" s="122">
        <f t="shared" si="5"/>
        <v>2042</v>
      </c>
      <c r="G18" s="124">
        <f t="shared" si="2"/>
        <v>733.98017920824327</v>
      </c>
      <c r="H18" s="131"/>
      <c r="I18" s="126">
        <f t="shared" si="3"/>
        <v>6902.8666221322246</v>
      </c>
    </row>
    <row r="19" spans="2:9" ht="16.5" thickBot="1" x14ac:dyDescent="0.3">
      <c r="B19" s="234">
        <f t="shared" si="0"/>
        <v>12.960000000000004</v>
      </c>
      <c r="C19" s="181">
        <f t="shared" si="1"/>
        <v>3.5506849315068506E-2</v>
      </c>
      <c r="D19" s="122">
        <v>2.5</v>
      </c>
      <c r="E19" s="293">
        <f t="shared" si="4"/>
        <v>9.534489322404653</v>
      </c>
      <c r="F19" s="122">
        <f t="shared" si="5"/>
        <v>2043</v>
      </c>
      <c r="G19" s="124">
        <f t="shared" si="2"/>
        <v>738.16386622973027</v>
      </c>
      <c r="H19" s="125"/>
      <c r="I19" s="126">
        <f t="shared" si="3"/>
        <v>7038.0155007522999</v>
      </c>
    </row>
    <row r="20" spans="2:9" ht="16.5" thickBot="1" x14ac:dyDescent="0.3">
      <c r="B20" s="234">
        <f t="shared" si="0"/>
        <v>13.824000000000005</v>
      </c>
      <c r="C20" s="181">
        <f t="shared" si="1"/>
        <v>3.7873972602739739E-2</v>
      </c>
      <c r="D20" s="122">
        <v>2.5</v>
      </c>
      <c r="E20" s="293">
        <f t="shared" si="4"/>
        <v>9.6660652750538372</v>
      </c>
      <c r="F20" s="122">
        <f t="shared" si="5"/>
        <v>2044</v>
      </c>
      <c r="G20" s="124">
        <f t="shared" si="2"/>
        <v>742.37140026723978</v>
      </c>
      <c r="H20" s="127"/>
      <c r="I20" s="126">
        <f t="shared" si="3"/>
        <v>7175.8104133162597</v>
      </c>
    </row>
    <row r="21" spans="2:9" ht="16.5" thickBot="1" x14ac:dyDescent="0.3">
      <c r="B21" s="234">
        <f t="shared" si="0"/>
        <v>14.688000000000006</v>
      </c>
      <c r="C21" s="181">
        <f t="shared" si="1"/>
        <v>4.0241095890410979E-2</v>
      </c>
      <c r="D21" s="122">
        <v>2.5</v>
      </c>
      <c r="E21" s="293">
        <f t="shared" si="4"/>
        <v>9.79945697584958</v>
      </c>
      <c r="F21" s="122">
        <f t="shared" si="5"/>
        <v>2045</v>
      </c>
      <c r="G21" s="124">
        <f t="shared" si="2"/>
        <v>746.60291724876311</v>
      </c>
      <c r="H21" s="131"/>
      <c r="I21" s="126">
        <f t="shared" si="3"/>
        <v>7316.3031656230387</v>
      </c>
    </row>
    <row r="22" spans="2:9" ht="16.5" thickBot="1" x14ac:dyDescent="0.3">
      <c r="B22" s="234">
        <f t="shared" si="0"/>
        <v>15.552000000000007</v>
      </c>
      <c r="C22" s="181">
        <f t="shared" si="1"/>
        <v>4.2608219178082211E-2</v>
      </c>
      <c r="D22" s="122">
        <v>2.5</v>
      </c>
      <c r="E22" s="293">
        <f t="shared" si="4"/>
        <v>9.9346894821163048</v>
      </c>
      <c r="F22" s="122">
        <f t="shared" si="5"/>
        <v>2046</v>
      </c>
      <c r="G22" s="124">
        <f t="shared" si="2"/>
        <v>750.85855387708114</v>
      </c>
      <c r="H22" s="125"/>
      <c r="I22" s="126">
        <f t="shared" si="3"/>
        <v>7459.5465777596964</v>
      </c>
    </row>
    <row r="23" spans="2:9" ht="16.5" thickBot="1" x14ac:dyDescent="0.3">
      <c r="B23" s="234">
        <f t="shared" si="0"/>
        <v>16.416000000000007</v>
      </c>
      <c r="C23" s="181">
        <f t="shared" si="1"/>
        <v>4.4975342465753444E-2</v>
      </c>
      <c r="D23" s="122">
        <v>2.5</v>
      </c>
      <c r="E23" s="293">
        <f t="shared" si="4"/>
        <v>10.071788196969511</v>
      </c>
      <c r="F23" s="122">
        <f t="shared" si="5"/>
        <v>2047</v>
      </c>
      <c r="G23" s="124">
        <f t="shared" si="2"/>
        <v>755.13844763418058</v>
      </c>
      <c r="H23" s="127"/>
      <c r="I23" s="126">
        <f t="shared" si="3"/>
        <v>7605.5945039598191</v>
      </c>
    </row>
    <row r="24" spans="2:9" ht="16.5" thickBot="1" x14ac:dyDescent="0.3">
      <c r="B24" s="234">
        <f t="shared" si="0"/>
        <v>17.280000000000008</v>
      </c>
      <c r="C24" s="181">
        <f t="shared" si="1"/>
        <v>4.7342465753424677E-2</v>
      </c>
      <c r="D24" s="122">
        <v>2.5</v>
      </c>
      <c r="E24" s="293">
        <f t="shared" si="4"/>
        <v>10.210778874087691</v>
      </c>
      <c r="F24" s="122">
        <f t="shared" si="5"/>
        <v>2048</v>
      </c>
      <c r="G24" s="124">
        <f t="shared" si="2"/>
        <v>759.44273678569539</v>
      </c>
      <c r="H24" s="125"/>
      <c r="I24" s="126">
        <f t="shared" si="3"/>
        <v>7754.5018528507171</v>
      </c>
    </row>
    <row r="25" spans="2:9" ht="16.5" thickBot="1" x14ac:dyDescent="0.3">
      <c r="B25" s="234">
        <f t="shared" si="0"/>
        <v>18.144000000000009</v>
      </c>
      <c r="C25" s="181">
        <f t="shared" si="1"/>
        <v>4.9709589041095917E-2</v>
      </c>
      <c r="D25" s="122">
        <v>2.5</v>
      </c>
      <c r="E25" s="293">
        <f t="shared" si="4"/>
        <v>10.3516876225501</v>
      </c>
      <c r="F25" s="122">
        <f t="shared" si="5"/>
        <v>2049</v>
      </c>
      <c r="G25" s="124">
        <f t="shared" si="2"/>
        <v>763.77156038537385</v>
      </c>
      <c r="H25" s="127"/>
      <c r="I25" s="126">
        <f t="shared" si="3"/>
        <v>7906.3246080970512</v>
      </c>
    </row>
    <row r="26" spans="2:9" ht="16.5" thickBot="1" x14ac:dyDescent="0.3">
      <c r="B26" s="234">
        <f t="shared" si="0"/>
        <v>19.00800000000001</v>
      </c>
      <c r="C26" s="181">
        <f t="shared" si="1"/>
        <v>5.207671232876715E-2</v>
      </c>
      <c r="D26" s="122">
        <v>2.5</v>
      </c>
      <c r="E26" s="293">
        <f t="shared" si="4"/>
        <v>10.494540911741291</v>
      </c>
      <c r="F26" s="122">
        <f t="shared" si="5"/>
        <v>2050</v>
      </c>
      <c r="G26" s="124">
        <f t="shared" si="2"/>
        <v>768.12505827957045</v>
      </c>
      <c r="H26" s="127"/>
      <c r="I26" s="126">
        <f t="shared" si="3"/>
        <v>8061.1198494486152</v>
      </c>
    </row>
    <row r="27" spans="2:9" ht="16.5" thickBot="1" x14ac:dyDescent="0.3">
      <c r="B27" s="234">
        <f t="shared" si="0"/>
        <v>19.872000000000011</v>
      </c>
      <c r="C27" s="181">
        <f t="shared" si="1"/>
        <v>5.4443835616438382E-2</v>
      </c>
      <c r="D27" s="122">
        <v>2.5</v>
      </c>
      <c r="E27" s="293">
        <f t="shared" si="4"/>
        <v>10.639365576323321</v>
      </c>
      <c r="F27" s="122">
        <f t="shared" si="5"/>
        <v>2051</v>
      </c>
      <c r="G27" s="124">
        <f t="shared" si="2"/>
        <v>772.50337111176407</v>
      </c>
      <c r="H27" s="127"/>
      <c r="I27" s="126">
        <f t="shared" si="3"/>
        <v>8218.9457742002214</v>
      </c>
    </row>
    <row r="28" spans="2:9" ht="16.5" thickBot="1" x14ac:dyDescent="0.3">
      <c r="B28" s="234">
        <f t="shared" si="0"/>
        <v>20.736000000000011</v>
      </c>
      <c r="C28" s="181">
        <f t="shared" si="1"/>
        <v>5.6810958904109622E-2</v>
      </c>
      <c r="D28" s="122">
        <v>2.5</v>
      </c>
      <c r="E28" s="293">
        <f t="shared" si="4"/>
        <v>10.786188821276584</v>
      </c>
      <c r="F28" s="122">
        <f t="shared" si="5"/>
        <v>2052</v>
      </c>
      <c r="G28" s="124">
        <f t="shared" si="2"/>
        <v>776.90664032710117</v>
      </c>
      <c r="H28" s="127"/>
      <c r="I28" s="126">
        <f t="shared" si="3"/>
        <v>8379.8617190717268</v>
      </c>
    </row>
    <row r="29" spans="2:9" ht="16.5" thickBot="1" x14ac:dyDescent="0.3">
      <c r="B29" s="234">
        <f t="shared" si="0"/>
        <v>21.600000000000012</v>
      </c>
      <c r="C29" s="181">
        <f t="shared" si="1"/>
        <v>5.9178082191780855E-2</v>
      </c>
      <c r="D29" s="122">
        <v>2.5</v>
      </c>
      <c r="E29" s="293">
        <f t="shared" si="4"/>
        <v>10.935038227010201</v>
      </c>
      <c r="F29" s="122">
        <f>(F28+1)</f>
        <v>2053</v>
      </c>
      <c r="G29" s="124">
        <f t="shared" si="2"/>
        <v>781.33500817696563</v>
      </c>
      <c r="H29" s="127"/>
      <c r="I29" s="126">
        <f t="shared" si="3"/>
        <v>8543.9281825164471</v>
      </c>
    </row>
    <row r="30" spans="2:9" ht="16.5" thickBot="1" x14ac:dyDescent="0.3">
      <c r="B30" s="234">
        <f t="shared" si="0"/>
        <v>22.464000000000013</v>
      </c>
      <c r="C30" s="181">
        <f t="shared" si="1"/>
        <v>6.1545205479452088E-2</v>
      </c>
      <c r="D30" s="122">
        <v>2.5</v>
      </c>
      <c r="E30" s="293">
        <f t="shared" si="4"/>
        <v>11.085941754542942</v>
      </c>
      <c r="F30" s="122">
        <f t="shared" ref="F30:F34" si="6">(F29+1)</f>
        <v>2054</v>
      </c>
      <c r="G30" s="124">
        <f t="shared" si="2"/>
        <v>785.78861772357436</v>
      </c>
      <c r="H30" s="127"/>
      <c r="I30" s="126">
        <f t="shared" si="3"/>
        <v>8711.2068474663556</v>
      </c>
    </row>
    <row r="31" spans="2:9" ht="16.5" thickBot="1" x14ac:dyDescent="0.3">
      <c r="B31" s="234">
        <f t="shared" si="0"/>
        <v>23.328000000000014</v>
      </c>
      <c r="C31" s="181">
        <f t="shared" si="1"/>
        <v>6.3912328767123328E-2</v>
      </c>
      <c r="D31" s="122">
        <v>2.5</v>
      </c>
      <c r="E31" s="293">
        <f t="shared" si="4"/>
        <v>11.238927750755634</v>
      </c>
      <c r="F31" s="122">
        <f t="shared" si="6"/>
        <v>2055</v>
      </c>
      <c r="G31" s="124">
        <f t="shared" si="2"/>
        <v>790.26761284459872</v>
      </c>
      <c r="H31" s="127"/>
      <c r="I31" s="126">
        <f t="shared" si="3"/>
        <v>8881.7606045225693</v>
      </c>
    </row>
    <row r="32" spans="2:9" ht="16.5" thickBot="1" x14ac:dyDescent="0.3">
      <c r="B32" s="234">
        <f t="shared" si="0"/>
        <v>24.192000000000014</v>
      </c>
      <c r="C32" s="181">
        <f t="shared" si="1"/>
        <v>6.627945205479456E-2</v>
      </c>
      <c r="D32" s="122">
        <v>2.5</v>
      </c>
      <c r="E32" s="293">
        <f t="shared" si="4"/>
        <v>11.394024953716062</v>
      </c>
      <c r="F32" s="122">
        <f t="shared" si="6"/>
        <v>2056</v>
      </c>
      <c r="G32" s="124">
        <f t="shared" si="2"/>
        <v>794.77213823781301</v>
      </c>
      <c r="H32" s="127"/>
      <c r="I32" s="126">
        <f t="shared" si="3"/>
        <v>9055.6535755999139</v>
      </c>
    </row>
    <row r="33" spans="2:9" ht="16.5" thickBot="1" x14ac:dyDescent="0.3">
      <c r="B33" s="234">
        <f t="shared" si="0"/>
        <v>25.056000000000015</v>
      </c>
      <c r="C33" s="181">
        <f t="shared" si="1"/>
        <v>6.8646575342465793E-2</v>
      </c>
      <c r="D33" s="122">
        <v>2.5</v>
      </c>
      <c r="E33" s="293">
        <f t="shared" si="4"/>
        <v>11.551262498077344</v>
      </c>
      <c r="F33" s="122">
        <f t="shared" si="6"/>
        <v>2057</v>
      </c>
      <c r="G33" s="124">
        <f t="shared" si="2"/>
        <v>799.30233942576854</v>
      </c>
      <c r="H33" s="127"/>
      <c r="I33" s="126">
        <f t="shared" si="3"/>
        <v>9232.9511380343683</v>
      </c>
    </row>
    <row r="34" spans="2:9" ht="16.5" thickBot="1" x14ac:dyDescent="0.3">
      <c r="B34" s="180">
        <v>25.916</v>
      </c>
      <c r="C34" s="182">
        <f t="shared" si="1"/>
        <v>7.10027397260274E-2</v>
      </c>
      <c r="D34" s="122">
        <v>2.5</v>
      </c>
      <c r="E34" s="293">
        <f t="shared" si="4"/>
        <v>11.710669920550812</v>
      </c>
      <c r="F34" s="122">
        <f t="shared" si="6"/>
        <v>2058</v>
      </c>
      <c r="G34" s="124">
        <f t="shared" si="2"/>
        <v>803.85836276049542</v>
      </c>
      <c r="H34" s="127"/>
      <c r="I34" s="126">
        <f t="shared" si="3"/>
        <v>9413.7199491625561</v>
      </c>
    </row>
    <row r="35" spans="2:9" ht="16.5" thickBot="1" x14ac:dyDescent="0.3">
      <c r="B35" s="226">
        <f>SUM(B5:B34)</f>
        <v>401.75600000000014</v>
      </c>
      <c r="C35" s="183"/>
      <c r="D35" s="132" t="s">
        <v>103</v>
      </c>
      <c r="E35" s="297" t="s">
        <v>103</v>
      </c>
      <c r="F35" s="132" t="s">
        <v>103</v>
      </c>
      <c r="G35" s="133" t="s">
        <v>103</v>
      </c>
      <c r="H35" s="134"/>
      <c r="I35" s="225">
        <f>SUM(I5:I34)</f>
        <v>216212.41434572203</v>
      </c>
    </row>
    <row r="37" spans="2:9" x14ac:dyDescent="0.25">
      <c r="B37" s="349"/>
      <c r="C37" s="349"/>
      <c r="D37" s="349"/>
      <c r="E37" s="349"/>
      <c r="F37" s="349"/>
    </row>
    <row r="38" spans="2:9" x14ac:dyDescent="0.25">
      <c r="B38" t="s">
        <v>108</v>
      </c>
    </row>
  </sheetData>
  <mergeCells count="2">
    <mergeCell ref="B37:F37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B874-B6BF-4121-9BB5-4BCD5086B97C}">
  <dimension ref="B3:H35"/>
  <sheetViews>
    <sheetView workbookViewId="0">
      <selection activeCell="S8" sqref="S8"/>
    </sheetView>
  </sheetViews>
  <sheetFormatPr defaultRowHeight="15" x14ac:dyDescent="0.25"/>
  <cols>
    <col min="2" max="2" width="12.42578125" customWidth="1"/>
    <col min="3" max="4" width="11.140625" customWidth="1"/>
    <col min="5" max="5" width="13.140625" customWidth="1"/>
    <col min="6" max="6" width="0" hidden="1" customWidth="1"/>
    <col min="7" max="7" width="16" hidden="1" customWidth="1"/>
    <col min="8" max="8" width="14.42578125" customWidth="1"/>
  </cols>
  <sheetData>
    <row r="3" spans="2:8" ht="21.75" thickBot="1" x14ac:dyDescent="0.4">
      <c r="B3" s="353" t="s">
        <v>123</v>
      </c>
      <c r="C3" s="354"/>
      <c r="D3" s="354"/>
      <c r="E3" s="355"/>
    </row>
    <row r="4" spans="2:8" ht="159" customHeight="1" thickBot="1" x14ac:dyDescent="0.3">
      <c r="B4" s="253" t="s">
        <v>199</v>
      </c>
      <c r="C4" s="221" t="s">
        <v>0</v>
      </c>
      <c r="D4" s="221" t="s">
        <v>186</v>
      </c>
      <c r="E4" s="254" t="s">
        <v>187</v>
      </c>
      <c r="F4" s="222" t="s">
        <v>107</v>
      </c>
      <c r="G4" s="222" t="s">
        <v>145</v>
      </c>
      <c r="H4" s="222" t="s">
        <v>168</v>
      </c>
    </row>
    <row r="5" spans="2:8" ht="16.5" thickBot="1" x14ac:dyDescent="0.3">
      <c r="B5" s="255">
        <f>Assumptions!B18*(1+0.0138)^4</f>
        <v>2.3345405467074198</v>
      </c>
      <c r="C5" s="122">
        <v>2029</v>
      </c>
      <c r="D5" s="122">
        <v>0.33</v>
      </c>
      <c r="E5" s="256">
        <f>650*(1+0.016)^3</f>
        <v>681.70186239999998</v>
      </c>
      <c r="F5" s="247"/>
      <c r="G5" s="125">
        <f>0.5*(4500*1.69*1.84)*(1+0.016)^3</f>
        <v>7337.8388468736002</v>
      </c>
      <c r="H5" s="126">
        <f>(B5*D5*E5)</f>
        <v>525.18201071779151</v>
      </c>
    </row>
    <row r="6" spans="2:8" ht="16.5" thickBot="1" x14ac:dyDescent="0.3">
      <c r="B6" s="255">
        <f t="shared" ref="B6:B34" si="0">(B5*0.0138)+B5</f>
        <v>2.3667572062519824</v>
      </c>
      <c r="C6" s="122">
        <f t="shared" ref="C6:C34" si="1">(C5+1)</f>
        <v>2030</v>
      </c>
      <c r="D6" s="122">
        <v>0.33</v>
      </c>
      <c r="E6" s="256">
        <f t="shared" ref="E6:E34" si="2">E5*(1+0.0057)</f>
        <v>685.58756301567996</v>
      </c>
      <c r="F6" s="247"/>
      <c r="G6" s="125">
        <f>0.5*(4500*1.69*1.84)*(1+0.016)^4</f>
        <v>7455.2442684235784</v>
      </c>
      <c r="H6" s="126">
        <f t="shared" ref="H6:H34" si="3">(B6*D6*E6)</f>
        <v>535.4643707437516</v>
      </c>
    </row>
    <row r="7" spans="2:8" ht="16.5" thickBot="1" x14ac:dyDescent="0.3">
      <c r="B7" s="255">
        <f t="shared" si="0"/>
        <v>2.3994184556982598</v>
      </c>
      <c r="C7" s="122">
        <f t="shared" si="1"/>
        <v>2031</v>
      </c>
      <c r="D7" s="122">
        <v>0.33</v>
      </c>
      <c r="E7" s="256">
        <f t="shared" si="2"/>
        <v>689.4954121248694</v>
      </c>
      <c r="F7" s="247"/>
      <c r="G7" s="125">
        <f>0.5*(4500*1.69*1.84)*(1+0.016)^5</f>
        <v>7574.528176718356</v>
      </c>
      <c r="H7" s="126">
        <f t="shared" si="3"/>
        <v>545.94804560065745</v>
      </c>
    </row>
    <row r="8" spans="2:8" ht="16.5" thickBot="1" x14ac:dyDescent="0.3">
      <c r="B8" s="255">
        <f t="shared" si="0"/>
        <v>2.4325304303868958</v>
      </c>
      <c r="C8" s="122">
        <f t="shared" si="1"/>
        <v>2032</v>
      </c>
      <c r="D8" s="122">
        <v>0.33</v>
      </c>
      <c r="E8" s="256">
        <f t="shared" si="2"/>
        <v>693.42553597398114</v>
      </c>
      <c r="F8" s="248"/>
      <c r="G8" s="125">
        <f>0.5*(4500*1.69*1.84)*(1+0.016)^6</f>
        <v>7695.7206275458493</v>
      </c>
      <c r="H8" s="126">
        <f t="shared" si="3"/>
        <v>556.63697676313723</v>
      </c>
    </row>
    <row r="9" spans="2:8" ht="16.5" thickBot="1" x14ac:dyDescent="0.3">
      <c r="B9" s="255">
        <f t="shared" si="0"/>
        <v>2.466099350326235</v>
      </c>
      <c r="C9" s="122">
        <f t="shared" si="1"/>
        <v>2033</v>
      </c>
      <c r="D9" s="122">
        <v>0.33</v>
      </c>
      <c r="E9" s="256">
        <f t="shared" si="2"/>
        <v>697.37806152903283</v>
      </c>
      <c r="F9" s="137"/>
      <c r="G9" s="125">
        <f>0.5*(4500*1.69*1.84)*(1+0.016)^7</f>
        <v>7818.8521575865834</v>
      </c>
      <c r="H9" s="126">
        <f t="shared" si="3"/>
        <v>567.53518287461065</v>
      </c>
    </row>
    <row r="10" spans="2:8" ht="16.5" thickBot="1" x14ac:dyDescent="0.3">
      <c r="B10" s="255">
        <f t="shared" si="0"/>
        <v>2.5001315213607369</v>
      </c>
      <c r="C10" s="122">
        <f t="shared" si="1"/>
        <v>2034</v>
      </c>
      <c r="D10" s="122">
        <v>0.33</v>
      </c>
      <c r="E10" s="256">
        <f t="shared" si="2"/>
        <v>701.35311647974834</v>
      </c>
      <c r="F10" s="247"/>
      <c r="G10" s="125">
        <f>0.5*(4500*1.69*1.84)*(1+0.016)^8</f>
        <v>7943.9537921079691</v>
      </c>
      <c r="H10" s="126">
        <f t="shared" si="3"/>
        <v>578.64676125815049</v>
      </c>
    </row>
    <row r="11" spans="2:8" ht="16.5" thickBot="1" x14ac:dyDescent="0.3">
      <c r="B11" s="255">
        <f t="shared" si="0"/>
        <v>2.5346333363555149</v>
      </c>
      <c r="C11" s="122">
        <f t="shared" si="1"/>
        <v>2035</v>
      </c>
      <c r="D11" s="122">
        <v>0.33</v>
      </c>
      <c r="E11" s="256">
        <f t="shared" si="2"/>
        <v>705.35082924368294</v>
      </c>
      <c r="F11" s="247"/>
      <c r="G11" s="125">
        <f>0.5*(4500*1.69*1.84)*(1+0.016)^9</f>
        <v>8071.0570527816963</v>
      </c>
      <c r="H11" s="126">
        <f t="shared" si="3"/>
        <v>589.97588945692496</v>
      </c>
    </row>
    <row r="12" spans="2:8" ht="16.5" thickBot="1" x14ac:dyDescent="0.3">
      <c r="B12" s="255">
        <f t="shared" si="0"/>
        <v>2.5696112763972212</v>
      </c>
      <c r="C12" s="122">
        <f t="shared" si="1"/>
        <v>2036</v>
      </c>
      <c r="D12" s="122">
        <v>0.33</v>
      </c>
      <c r="E12" s="256">
        <f t="shared" si="2"/>
        <v>709.37132897037191</v>
      </c>
      <c r="F12" s="248"/>
      <c r="G12" s="125">
        <f>0.5*(4500*1.69*1.84)*(1+0.016)^10</f>
        <v>8200.1939656262039</v>
      </c>
      <c r="H12" s="126">
        <f t="shared" si="3"/>
        <v>601.52682680479961</v>
      </c>
    </row>
    <row r="13" spans="2:8" ht="16.5" thickBot="1" x14ac:dyDescent="0.3">
      <c r="B13" s="255">
        <f t="shared" si="0"/>
        <v>2.6050719120115029</v>
      </c>
      <c r="C13" s="122">
        <f t="shared" si="1"/>
        <v>2037</v>
      </c>
      <c r="D13" s="122">
        <v>0.33</v>
      </c>
      <c r="E13" s="256">
        <f t="shared" si="2"/>
        <v>713.41474554550302</v>
      </c>
      <c r="F13" s="249"/>
      <c r="G13" s="125">
        <f>0.5*(4500*1.69*1.84)*(1+0.016)^11</f>
        <v>8331.3970690762217</v>
      </c>
      <c r="H13" s="126">
        <f t="shared" si="3"/>
        <v>613.30391602768975</v>
      </c>
    </row>
    <row r="14" spans="2:8" ht="16.5" thickBot="1" x14ac:dyDescent="0.3">
      <c r="B14" s="255">
        <f t="shared" si="0"/>
        <v>2.6410219043972618</v>
      </c>
      <c r="C14" s="122">
        <f t="shared" si="1"/>
        <v>2038</v>
      </c>
      <c r="D14" s="122">
        <v>0.33</v>
      </c>
      <c r="E14" s="256">
        <f t="shared" si="2"/>
        <v>717.48120959511243</v>
      </c>
      <c r="F14" s="250"/>
      <c r="G14" s="125">
        <f>0.5*(4500*1.69*1.84)*(1+0.016)^12</f>
        <v>8464.6994221814421</v>
      </c>
      <c r="H14" s="126">
        <f t="shared" si="3"/>
        <v>625.31158487626453</v>
      </c>
    </row>
    <row r="15" spans="2:8" ht="16.5" thickBot="1" x14ac:dyDescent="0.3">
      <c r="B15" s="255">
        <f t="shared" si="0"/>
        <v>2.6774680066779442</v>
      </c>
      <c r="C15" s="122">
        <f t="shared" si="1"/>
        <v>2039</v>
      </c>
      <c r="D15" s="122">
        <v>0.33</v>
      </c>
      <c r="E15" s="256">
        <f t="shared" si="2"/>
        <v>721.57085248980457</v>
      </c>
      <c r="F15" s="137"/>
      <c r="G15" s="125">
        <f>0.5*(4500*1.69*1.84)*(1+0.016)^13</f>
        <v>8600.1346129363465</v>
      </c>
      <c r="H15" s="126">
        <f t="shared" si="3"/>
        <v>637.55434779061807</v>
      </c>
    </row>
    <row r="16" spans="2:8" ht="16.5" thickBot="1" x14ac:dyDescent="0.3">
      <c r="B16" s="255">
        <f t="shared" si="0"/>
        <v>2.7144170651700996</v>
      </c>
      <c r="C16" s="122">
        <f t="shared" si="1"/>
        <v>2040</v>
      </c>
      <c r="D16" s="122">
        <v>0.33</v>
      </c>
      <c r="E16" s="256">
        <f t="shared" si="2"/>
        <v>725.68380634899643</v>
      </c>
      <c r="F16" s="247"/>
      <c r="G16" s="125">
        <f>0.5*(4500*1.69*1.84)*(1+0.016)^14</f>
        <v>8737.7367667433282</v>
      </c>
      <c r="H16" s="126">
        <f t="shared" si="3"/>
        <v>650.03680759753229</v>
      </c>
    </row>
    <row r="17" spans="2:8" ht="16.5" thickBot="1" x14ac:dyDescent="0.3">
      <c r="B17" s="255">
        <f t="shared" si="0"/>
        <v>2.7518760206694468</v>
      </c>
      <c r="C17" s="122">
        <f t="shared" si="1"/>
        <v>2041</v>
      </c>
      <c r="D17" s="122">
        <v>0.33</v>
      </c>
      <c r="E17" s="256">
        <f t="shared" si="2"/>
        <v>729.82020404518573</v>
      </c>
      <c r="F17" s="251"/>
      <c r="G17" s="125">
        <f>0.5*(4500*1.69*1.84)*(1+0.016)^15</f>
        <v>8877.5405550112209</v>
      </c>
      <c r="H17" s="126">
        <f t="shared" si="3"/>
        <v>662.76365724096968</v>
      </c>
    </row>
    <row r="18" spans="2:8" ht="16.5" thickBot="1" x14ac:dyDescent="0.3">
      <c r="B18" s="255">
        <f t="shared" si="0"/>
        <v>2.789851909754685</v>
      </c>
      <c r="C18" s="122">
        <f t="shared" si="1"/>
        <v>2042</v>
      </c>
      <c r="D18" s="122">
        <v>0.33</v>
      </c>
      <c r="E18" s="256">
        <f t="shared" si="2"/>
        <v>733.98017920824327</v>
      </c>
      <c r="F18" s="251"/>
      <c r="G18" s="125">
        <f>0.5*(4500*1.69*1.84)*(1+0.016)^16</f>
        <v>9019.5812038913991</v>
      </c>
      <c r="H18" s="126">
        <f t="shared" si="3"/>
        <v>675.73968154644717</v>
      </c>
    </row>
    <row r="19" spans="2:8" ht="16.5" thickBot="1" x14ac:dyDescent="0.3">
      <c r="B19" s="255">
        <f t="shared" si="0"/>
        <v>2.8283518661092995</v>
      </c>
      <c r="C19" s="122">
        <f t="shared" si="1"/>
        <v>2043</v>
      </c>
      <c r="D19" s="122">
        <v>0.33</v>
      </c>
      <c r="E19" s="256">
        <f t="shared" si="2"/>
        <v>738.16386622973027</v>
      </c>
      <c r="F19" s="247"/>
      <c r="G19" s="125">
        <f>0.5*(4500*1.69*1.84)*(1+0.016)^17</f>
        <v>9163.8945031536623</v>
      </c>
      <c r="H19" s="126">
        <f t="shared" si="3"/>
        <v>688.96975901995324</v>
      </c>
    </row>
    <row r="20" spans="2:8" ht="16.5" thickBot="1" x14ac:dyDescent="0.3">
      <c r="B20" s="255">
        <f t="shared" si="0"/>
        <v>2.8673831218616077</v>
      </c>
      <c r="C20" s="122">
        <f t="shared" si="1"/>
        <v>2044</v>
      </c>
      <c r="D20" s="122">
        <v>0.33</v>
      </c>
      <c r="E20" s="256">
        <f t="shared" si="2"/>
        <v>742.37140026723978</v>
      </c>
      <c r="F20" s="248"/>
      <c r="G20" s="125">
        <f>0.5*(4500*1.69*1.84)*(1+0.016)^18</f>
        <v>9310.5168152041206</v>
      </c>
      <c r="H20" s="126">
        <f t="shared" si="3"/>
        <v>702.45886368208687</v>
      </c>
    </row>
    <row r="21" spans="2:8" ht="16.5" thickBot="1" x14ac:dyDescent="0.3">
      <c r="B21" s="255">
        <f t="shared" si="0"/>
        <v>2.9069530089432978</v>
      </c>
      <c r="C21" s="122">
        <f t="shared" si="1"/>
        <v>2045</v>
      </c>
      <c r="D21" s="122">
        <v>0.33</v>
      </c>
      <c r="E21" s="256">
        <f t="shared" si="2"/>
        <v>746.60291724876311</v>
      </c>
      <c r="F21" s="251"/>
      <c r="G21" s="125">
        <f>0.5*(4500*1.69*1.84)*(1+0.016)^19</f>
        <v>9459.4850842473861</v>
      </c>
      <c r="H21" s="126">
        <f t="shared" si="3"/>
        <v>716.21206693810484</v>
      </c>
    </row>
    <row r="22" spans="2:8" ht="16.5" thickBot="1" x14ac:dyDescent="0.3">
      <c r="B22" s="255">
        <f t="shared" si="0"/>
        <v>2.9470689604667153</v>
      </c>
      <c r="C22" s="122">
        <f t="shared" si="1"/>
        <v>2046</v>
      </c>
      <c r="D22" s="122">
        <v>0.33</v>
      </c>
      <c r="E22" s="256">
        <f t="shared" si="2"/>
        <v>750.85855387708114</v>
      </c>
      <c r="F22" s="247"/>
      <c r="G22" s="125">
        <f>0.5*(4500*1.69*1.84)*(1+0.016)^20</f>
        <v>9610.8368455953441</v>
      </c>
      <c r="H22" s="126">
        <f t="shared" si="3"/>
        <v>730.23453948458337</v>
      </c>
    </row>
    <row r="23" spans="2:8" ht="16.5" thickBot="1" x14ac:dyDescent="0.3">
      <c r="B23" s="255">
        <f t="shared" si="0"/>
        <v>2.9877385121211559</v>
      </c>
      <c r="C23" s="122">
        <f t="shared" si="1"/>
        <v>2047</v>
      </c>
      <c r="D23" s="122">
        <v>0.33</v>
      </c>
      <c r="E23" s="256">
        <f t="shared" si="2"/>
        <v>755.13844763418058</v>
      </c>
      <c r="F23" s="248"/>
      <c r="G23" s="125">
        <f>0.5*(4500*1.69*1.84)*(1+0.016)^21</f>
        <v>9764.6102351248701</v>
      </c>
      <c r="H23" s="126">
        <f t="shared" si="3"/>
        <v>744.53155325340867</v>
      </c>
    </row>
    <row r="24" spans="2:8" ht="16.5" thickBot="1" x14ac:dyDescent="0.3">
      <c r="B24" s="255">
        <f t="shared" si="0"/>
        <v>3.0289693035884278</v>
      </c>
      <c r="C24" s="122">
        <f t="shared" si="1"/>
        <v>2048</v>
      </c>
      <c r="D24" s="122">
        <v>0.33</v>
      </c>
      <c r="E24" s="256">
        <f t="shared" si="2"/>
        <v>759.44273678569539</v>
      </c>
      <c r="F24" s="247"/>
      <c r="G24" s="125">
        <f>0.5*(4500*1.69*1.84)*(1+0.016)^22</f>
        <v>9920.8439988868686</v>
      </c>
      <c r="H24" s="126">
        <f t="shared" si="3"/>
        <v>759.10848339382903</v>
      </c>
    </row>
    <row r="25" spans="2:8" ht="16.5" thickBot="1" x14ac:dyDescent="0.3">
      <c r="B25" s="255">
        <f t="shared" si="0"/>
        <v>3.0707690799779481</v>
      </c>
      <c r="C25" s="122">
        <f t="shared" si="1"/>
        <v>2049</v>
      </c>
      <c r="D25" s="122">
        <v>0.33</v>
      </c>
      <c r="E25" s="256">
        <f t="shared" si="2"/>
        <v>763.77156038537385</v>
      </c>
      <c r="F25" s="248"/>
      <c r="G25" s="125">
        <f>0.5*(4500*1.69*1.84)*(1+0.016)^23</f>
        <v>10079.577502869059</v>
      </c>
      <c r="H25" s="126">
        <f t="shared" si="3"/>
        <v>773.9708102933123</v>
      </c>
    </row>
    <row r="26" spans="2:8" ht="16.5" thickBot="1" x14ac:dyDescent="0.3">
      <c r="B26" s="255">
        <f t="shared" si="0"/>
        <v>3.1131456932816439</v>
      </c>
      <c r="C26" s="122">
        <f t="shared" si="1"/>
        <v>2050</v>
      </c>
      <c r="D26" s="122">
        <v>0.33</v>
      </c>
      <c r="E26" s="256">
        <f t="shared" si="2"/>
        <v>768.12505827957045</v>
      </c>
      <c r="F26" s="248"/>
      <c r="G26" s="125">
        <f>0.5*(4500*1.69*1.84)*(1+0.016)^24</f>
        <v>10240.850742914965</v>
      </c>
      <c r="H26" s="126">
        <f t="shared" si="3"/>
        <v>789.12412163796967</v>
      </c>
    </row>
    <row r="27" spans="2:8" ht="16.5" thickBot="1" x14ac:dyDescent="0.3">
      <c r="B27" s="255">
        <f t="shared" si="0"/>
        <v>3.1561071038489308</v>
      </c>
      <c r="C27" s="122">
        <f t="shared" si="1"/>
        <v>2051</v>
      </c>
      <c r="D27" s="122">
        <v>0.33</v>
      </c>
      <c r="E27" s="256">
        <f t="shared" si="2"/>
        <v>772.50337111176407</v>
      </c>
      <c r="F27" s="248"/>
      <c r="G27" s="125">
        <f>0.5*(4500*1.69*1.84)*(1+0.016)^25</f>
        <v>10404.704354801604</v>
      </c>
      <c r="H27" s="126">
        <f t="shared" si="3"/>
        <v>804.57411451331825</v>
      </c>
    </row>
    <row r="28" spans="2:8" ht="16.5" thickBot="1" x14ac:dyDescent="0.3">
      <c r="B28" s="255">
        <f t="shared" si="0"/>
        <v>3.1996613818820459</v>
      </c>
      <c r="C28" s="122">
        <f t="shared" si="1"/>
        <v>2052</v>
      </c>
      <c r="D28" s="122">
        <v>0.33</v>
      </c>
      <c r="E28" s="256">
        <f t="shared" si="2"/>
        <v>776.90664032710117</v>
      </c>
      <c r="F28" s="248"/>
      <c r="G28" s="125">
        <f>0.5*(4500*1.69*1.84)*(1+0.016)^26</f>
        <v>10571.179624478431</v>
      </c>
      <c r="H28" s="126">
        <f t="shared" si="3"/>
        <v>820.32659754617555</v>
      </c>
    </row>
    <row r="29" spans="2:8" ht="16.5" thickBot="1" x14ac:dyDescent="0.3">
      <c r="B29" s="255">
        <f t="shared" si="0"/>
        <v>3.2438167089520182</v>
      </c>
      <c r="C29" s="122">
        <f t="shared" si="1"/>
        <v>2053</v>
      </c>
      <c r="D29" s="122">
        <v>0.33</v>
      </c>
      <c r="E29" s="256">
        <f t="shared" si="2"/>
        <v>781.33500817696563</v>
      </c>
      <c r="F29" s="248"/>
      <c r="G29" s="125">
        <f>0.5*(4500*1.69*1.84)*(1+0.016)^27</f>
        <v>10740.318498470084</v>
      </c>
      <c r="H29" s="126">
        <f t="shared" si="3"/>
        <v>836.38749308848912</v>
      </c>
    </row>
    <row r="30" spans="2:8" ht="16.5" thickBot="1" x14ac:dyDescent="0.3">
      <c r="B30" s="255">
        <f t="shared" si="0"/>
        <v>3.2885813795355561</v>
      </c>
      <c r="C30" s="122">
        <f t="shared" si="1"/>
        <v>2054</v>
      </c>
      <c r="D30" s="122">
        <v>0.33</v>
      </c>
      <c r="E30" s="256">
        <f t="shared" si="2"/>
        <v>785.78861772357436</v>
      </c>
      <c r="F30" s="248"/>
      <c r="G30" s="125">
        <f>0.5*(4500*1.69*1.84)*(1+0.016)^28</f>
        <v>10912.163594445607</v>
      </c>
      <c r="H30" s="126">
        <f t="shared" si="3"/>
        <v>852.76283944392083</v>
      </c>
    </row>
    <row r="31" spans="2:8" ht="16.5" thickBot="1" x14ac:dyDescent="0.3">
      <c r="B31" s="255">
        <f t="shared" si="0"/>
        <v>3.3339638025731468</v>
      </c>
      <c r="C31" s="122">
        <f t="shared" si="1"/>
        <v>2055</v>
      </c>
      <c r="D31" s="122">
        <v>0.33</v>
      </c>
      <c r="E31" s="256">
        <f t="shared" si="2"/>
        <v>790.26761284459872</v>
      </c>
      <c r="F31" s="248"/>
      <c r="G31" s="125">
        <f>0.5*(4500*1.69*1.84)*(1+0.016)^29</f>
        <v>11086.758211956738</v>
      </c>
      <c r="H31" s="126">
        <f t="shared" si="3"/>
        <v>869.458793138028</v>
      </c>
    </row>
    <row r="32" spans="2:8" ht="16.5" thickBot="1" x14ac:dyDescent="0.3">
      <c r="B32" s="255">
        <f t="shared" si="0"/>
        <v>3.3799725030486565</v>
      </c>
      <c r="C32" s="122">
        <f t="shared" si="1"/>
        <v>2056</v>
      </c>
      <c r="D32" s="122">
        <v>0.33</v>
      </c>
      <c r="E32" s="256">
        <f t="shared" si="2"/>
        <v>794.77213823781301</v>
      </c>
      <c r="F32" s="248"/>
      <c r="G32" s="125">
        <f>0.5*(4500*1.69*1.84)*(1+0.016)^30</f>
        <v>11264.146343348044</v>
      </c>
      <c r="H32" s="126">
        <f t="shared" si="3"/>
        <v>886.48163123288793</v>
      </c>
    </row>
    <row r="33" spans="2:8" ht="16.5" thickBot="1" x14ac:dyDescent="0.3">
      <c r="B33" s="255">
        <f t="shared" si="0"/>
        <v>3.426616123590728</v>
      </c>
      <c r="C33" s="122">
        <f t="shared" si="1"/>
        <v>2057</v>
      </c>
      <c r="D33" s="122">
        <v>0.33</v>
      </c>
      <c r="E33" s="256">
        <f t="shared" si="2"/>
        <v>799.30233942576854</v>
      </c>
      <c r="F33" s="248"/>
      <c r="G33" s="125">
        <f>0.5*(4500*1.69*1.84)*(1+0.016)^31</f>
        <v>11444.372684841612</v>
      </c>
      <c r="H33" s="126">
        <f t="shared" si="3"/>
        <v>903.83775368704198</v>
      </c>
    </row>
    <row r="34" spans="2:8" ht="16.5" thickBot="1" x14ac:dyDescent="0.3">
      <c r="B34" s="255">
        <f t="shared" si="0"/>
        <v>3.47390342609628</v>
      </c>
      <c r="C34" s="122">
        <f t="shared" si="1"/>
        <v>2058</v>
      </c>
      <c r="D34" s="122">
        <v>0.33</v>
      </c>
      <c r="E34" s="256">
        <f t="shared" si="2"/>
        <v>803.85836276049542</v>
      </c>
      <c r="F34" s="248"/>
      <c r="G34" s="125">
        <f>0.5*(4500*1.69*1.84)*(1+0.016)^32</f>
        <v>11627.482647799079</v>
      </c>
      <c r="H34" s="126">
        <f t="shared" si="3"/>
        <v>921.53368576164439</v>
      </c>
    </row>
    <row r="35" spans="2:8" ht="16.5" thickBot="1" x14ac:dyDescent="0.3">
      <c r="B35" s="257" t="s">
        <v>103</v>
      </c>
      <c r="C35" s="258" t="s">
        <v>103</v>
      </c>
      <c r="D35" s="259"/>
      <c r="E35" s="260" t="s">
        <v>103</v>
      </c>
      <c r="F35" s="252"/>
      <c r="G35" s="134">
        <f>SUM(G5:G34)</f>
        <v>279730.22020564129</v>
      </c>
      <c r="H35" s="225">
        <f>SUM(H5:H34)</f>
        <v>21165.5991654141</v>
      </c>
    </row>
  </sheetData>
  <mergeCells count="1"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094C-42B9-44CA-B966-EA6A8F3F9F14}">
  <sheetPr>
    <pageSetUpPr fitToPage="1"/>
  </sheetPr>
  <dimension ref="C2:J69"/>
  <sheetViews>
    <sheetView topLeftCell="A5" workbookViewId="0">
      <selection activeCell="O17" sqref="O17"/>
    </sheetView>
  </sheetViews>
  <sheetFormatPr defaultRowHeight="15" x14ac:dyDescent="0.25"/>
  <cols>
    <col min="3" max="3" width="15.42578125" customWidth="1"/>
    <col min="4" max="4" width="10.85546875" customWidth="1"/>
    <col min="5" max="5" width="9.140625" hidden="1" customWidth="1"/>
    <col min="6" max="6" width="16.5703125" customWidth="1"/>
    <col min="8" max="8" width="13.5703125" customWidth="1"/>
    <col min="9" max="9" width="10.5703125" hidden="1" customWidth="1"/>
    <col min="10" max="10" width="0.140625" customWidth="1"/>
  </cols>
  <sheetData>
    <row r="2" spans="3:10" ht="15.75" thickBot="1" x14ac:dyDescent="0.3"/>
    <row r="3" spans="3:10" ht="24.75" thickBot="1" x14ac:dyDescent="0.5">
      <c r="C3" s="229" t="s">
        <v>170</v>
      </c>
      <c r="D3" s="271"/>
    </row>
    <row r="4" spans="3:10" ht="119.1" customHeight="1" thickBot="1" x14ac:dyDescent="0.3">
      <c r="C4" s="220" t="s">
        <v>171</v>
      </c>
      <c r="D4" s="221" t="s">
        <v>182</v>
      </c>
      <c r="E4" s="221" t="s">
        <v>106</v>
      </c>
      <c r="F4" s="221" t="s">
        <v>183</v>
      </c>
      <c r="G4" s="221" t="s">
        <v>0</v>
      </c>
      <c r="H4" s="214" t="s">
        <v>164</v>
      </c>
      <c r="I4" s="222" t="s">
        <v>107</v>
      </c>
      <c r="J4" s="222" t="s">
        <v>72</v>
      </c>
    </row>
    <row r="5" spans="3:10" ht="16.5" thickBot="1" x14ac:dyDescent="0.3">
      <c r="C5" s="300">
        <f>38218*0.447</f>
        <v>17083.446</v>
      </c>
      <c r="D5" s="268">
        <f>C5*0.000001</f>
        <v>1.7083445999999999E-2</v>
      </c>
      <c r="E5" s="122">
        <v>2.5</v>
      </c>
      <c r="F5" s="123">
        <v>63400</v>
      </c>
      <c r="G5" s="122">
        <v>2029</v>
      </c>
      <c r="H5" s="293">
        <f>D5*F5</f>
        <v>1083.0904763999999</v>
      </c>
      <c r="I5" s="146"/>
      <c r="J5" s="161">
        <f>H5+I5</f>
        <v>1083.0904763999999</v>
      </c>
    </row>
    <row r="6" spans="3:10" ht="16.5" thickBot="1" x14ac:dyDescent="0.3">
      <c r="C6" s="300">
        <f t="shared" ref="C6:C34" si="0">38218*0.447</f>
        <v>17083.446</v>
      </c>
      <c r="D6" s="268">
        <f t="shared" ref="D6:D34" si="1">C6*0.000001</f>
        <v>1.7083445999999999E-2</v>
      </c>
      <c r="E6" s="122">
        <v>2.5</v>
      </c>
      <c r="F6" s="123">
        <v>64500</v>
      </c>
      <c r="G6" s="122">
        <f>G5+1</f>
        <v>2030</v>
      </c>
      <c r="H6" s="293">
        <f t="shared" ref="H6:H34" si="2">D6*F6</f>
        <v>1101.882267</v>
      </c>
      <c r="I6" s="146"/>
      <c r="J6" s="161">
        <f t="shared" ref="J6:J34" si="3">H6+I6</f>
        <v>1101.882267</v>
      </c>
    </row>
    <row r="7" spans="3:10" ht="16.5" thickBot="1" x14ac:dyDescent="0.3">
      <c r="C7" s="300">
        <f t="shared" si="0"/>
        <v>17083.446</v>
      </c>
      <c r="D7" s="268">
        <f t="shared" si="1"/>
        <v>1.7083445999999999E-2</v>
      </c>
      <c r="E7" s="122">
        <v>2.5</v>
      </c>
      <c r="F7" s="123">
        <v>64500</v>
      </c>
      <c r="G7" s="122">
        <f t="shared" ref="G7:G34" si="4">G6+1</f>
        <v>2031</v>
      </c>
      <c r="H7" s="293">
        <f t="shared" si="2"/>
        <v>1101.882267</v>
      </c>
      <c r="I7" s="146"/>
      <c r="J7" s="161">
        <f t="shared" si="3"/>
        <v>1101.882267</v>
      </c>
    </row>
    <row r="8" spans="3:10" ht="16.5" thickBot="1" x14ac:dyDescent="0.3">
      <c r="C8" s="300">
        <f t="shared" si="0"/>
        <v>17083.446</v>
      </c>
      <c r="D8" s="268">
        <f t="shared" si="1"/>
        <v>1.7083445999999999E-2</v>
      </c>
      <c r="E8" s="122">
        <v>2.5</v>
      </c>
      <c r="F8" s="123">
        <v>64500</v>
      </c>
      <c r="G8" s="122">
        <f t="shared" si="4"/>
        <v>2032</v>
      </c>
      <c r="H8" s="293">
        <f t="shared" si="2"/>
        <v>1101.882267</v>
      </c>
      <c r="I8" s="147"/>
      <c r="J8" s="162">
        <f t="shared" si="3"/>
        <v>1101.882267</v>
      </c>
    </row>
    <row r="9" spans="3:10" ht="16.5" thickBot="1" x14ac:dyDescent="0.3">
      <c r="C9" s="300">
        <f t="shared" si="0"/>
        <v>17083.446</v>
      </c>
      <c r="D9" s="268">
        <f t="shared" si="1"/>
        <v>1.7083445999999999E-2</v>
      </c>
      <c r="E9" s="122">
        <v>2.5</v>
      </c>
      <c r="F9" s="123">
        <v>64500</v>
      </c>
      <c r="G9" s="122">
        <f>G8+1</f>
        <v>2033</v>
      </c>
      <c r="H9" s="293">
        <f t="shared" si="2"/>
        <v>1101.882267</v>
      </c>
      <c r="I9" s="148"/>
      <c r="J9" s="163">
        <f t="shared" si="3"/>
        <v>1101.882267</v>
      </c>
    </row>
    <row r="10" spans="3:10" ht="16.5" thickBot="1" x14ac:dyDescent="0.3">
      <c r="C10" s="300">
        <f t="shared" si="0"/>
        <v>17083.446</v>
      </c>
      <c r="D10" s="268">
        <f t="shared" si="1"/>
        <v>1.7083445999999999E-2</v>
      </c>
      <c r="E10" s="122">
        <v>2.5</v>
      </c>
      <c r="F10" s="123">
        <v>64500</v>
      </c>
      <c r="G10" s="122">
        <f t="shared" si="4"/>
        <v>2034</v>
      </c>
      <c r="H10" s="293">
        <f t="shared" si="2"/>
        <v>1101.882267</v>
      </c>
      <c r="I10" s="146"/>
      <c r="J10" s="161">
        <f t="shared" si="3"/>
        <v>1101.882267</v>
      </c>
    </row>
    <row r="11" spans="3:10" ht="16.5" thickBot="1" x14ac:dyDescent="0.3">
      <c r="C11" s="300">
        <f t="shared" si="0"/>
        <v>17083.446</v>
      </c>
      <c r="D11" s="268">
        <f t="shared" si="1"/>
        <v>1.7083445999999999E-2</v>
      </c>
      <c r="E11" s="122">
        <v>2.5</v>
      </c>
      <c r="F11" s="123">
        <v>64500</v>
      </c>
      <c r="G11" s="122">
        <f t="shared" si="4"/>
        <v>2035</v>
      </c>
      <c r="H11" s="293">
        <f t="shared" si="2"/>
        <v>1101.882267</v>
      </c>
      <c r="I11" s="146"/>
      <c r="J11" s="161">
        <f t="shared" si="3"/>
        <v>1101.882267</v>
      </c>
    </row>
    <row r="12" spans="3:10" ht="16.5" thickBot="1" x14ac:dyDescent="0.3">
      <c r="C12" s="300">
        <f t="shared" si="0"/>
        <v>17083.446</v>
      </c>
      <c r="D12" s="268">
        <f t="shared" si="1"/>
        <v>1.7083445999999999E-2</v>
      </c>
      <c r="E12" s="122">
        <v>2.5</v>
      </c>
      <c r="F12" s="123">
        <v>64500</v>
      </c>
      <c r="G12" s="122">
        <f t="shared" si="4"/>
        <v>2036</v>
      </c>
      <c r="H12" s="293">
        <f t="shared" si="2"/>
        <v>1101.882267</v>
      </c>
      <c r="I12" s="147"/>
      <c r="J12" s="162">
        <f t="shared" si="3"/>
        <v>1101.882267</v>
      </c>
    </row>
    <row r="13" spans="3:10" ht="16.5" thickBot="1" x14ac:dyDescent="0.3">
      <c r="C13" s="300">
        <f t="shared" si="0"/>
        <v>17083.446</v>
      </c>
      <c r="D13" s="268">
        <f t="shared" si="1"/>
        <v>1.7083445999999999E-2</v>
      </c>
      <c r="E13" s="122">
        <v>2.5</v>
      </c>
      <c r="F13" s="123">
        <v>64500</v>
      </c>
      <c r="G13" s="122">
        <f t="shared" si="4"/>
        <v>2037</v>
      </c>
      <c r="H13" s="293">
        <f t="shared" si="2"/>
        <v>1101.882267</v>
      </c>
      <c r="I13" s="149"/>
      <c r="J13" s="164">
        <f t="shared" si="3"/>
        <v>1101.882267</v>
      </c>
    </row>
    <row r="14" spans="3:10" ht="16.5" thickBot="1" x14ac:dyDescent="0.3">
      <c r="C14" s="300">
        <f t="shared" si="0"/>
        <v>17083.446</v>
      </c>
      <c r="D14" s="268">
        <f t="shared" si="1"/>
        <v>1.7083445999999999E-2</v>
      </c>
      <c r="E14" s="122">
        <v>2.5</v>
      </c>
      <c r="F14" s="123">
        <v>64500</v>
      </c>
      <c r="G14" s="122">
        <f t="shared" si="4"/>
        <v>2038</v>
      </c>
      <c r="H14" s="293">
        <f t="shared" si="2"/>
        <v>1101.882267</v>
      </c>
      <c r="I14" s="150"/>
      <c r="J14" s="165">
        <f t="shared" si="3"/>
        <v>1101.882267</v>
      </c>
    </row>
    <row r="15" spans="3:10" ht="16.5" thickBot="1" x14ac:dyDescent="0.3">
      <c r="C15" s="300">
        <f t="shared" si="0"/>
        <v>17083.446</v>
      </c>
      <c r="D15" s="268">
        <f t="shared" si="1"/>
        <v>1.7083445999999999E-2</v>
      </c>
      <c r="E15" s="122">
        <v>2.5</v>
      </c>
      <c r="F15" s="123">
        <v>64500</v>
      </c>
      <c r="G15" s="122">
        <f t="shared" si="4"/>
        <v>2039</v>
      </c>
      <c r="H15" s="293">
        <f t="shared" si="2"/>
        <v>1101.882267</v>
      </c>
      <c r="I15" s="148"/>
      <c r="J15" s="163">
        <f t="shared" si="3"/>
        <v>1101.882267</v>
      </c>
    </row>
    <row r="16" spans="3:10" ht="16.5" thickBot="1" x14ac:dyDescent="0.3">
      <c r="C16" s="300">
        <f t="shared" si="0"/>
        <v>17083.446</v>
      </c>
      <c r="D16" s="268">
        <f t="shared" si="1"/>
        <v>1.7083445999999999E-2</v>
      </c>
      <c r="E16" s="122">
        <v>2.5</v>
      </c>
      <c r="F16" s="123">
        <v>64500</v>
      </c>
      <c r="G16" s="122">
        <f t="shared" si="4"/>
        <v>2040</v>
      </c>
      <c r="H16" s="293">
        <f t="shared" si="2"/>
        <v>1101.882267</v>
      </c>
      <c r="I16" s="146"/>
      <c r="J16" s="161">
        <f t="shared" si="3"/>
        <v>1101.882267</v>
      </c>
    </row>
    <row r="17" spans="3:10" ht="16.5" thickBot="1" x14ac:dyDescent="0.3">
      <c r="C17" s="300">
        <f t="shared" si="0"/>
        <v>17083.446</v>
      </c>
      <c r="D17" s="268">
        <f t="shared" si="1"/>
        <v>1.7083445999999999E-2</v>
      </c>
      <c r="E17" s="122">
        <v>2.5</v>
      </c>
      <c r="F17" s="123">
        <v>64500</v>
      </c>
      <c r="G17" s="122">
        <f t="shared" si="4"/>
        <v>2041</v>
      </c>
      <c r="H17" s="293">
        <f t="shared" si="2"/>
        <v>1101.882267</v>
      </c>
      <c r="I17" s="151"/>
      <c r="J17" s="166">
        <f t="shared" si="3"/>
        <v>1101.882267</v>
      </c>
    </row>
    <row r="18" spans="3:10" ht="16.5" thickBot="1" x14ac:dyDescent="0.3">
      <c r="C18" s="300">
        <f t="shared" si="0"/>
        <v>17083.446</v>
      </c>
      <c r="D18" s="268">
        <f t="shared" si="1"/>
        <v>1.7083445999999999E-2</v>
      </c>
      <c r="E18" s="122">
        <v>2.5</v>
      </c>
      <c r="F18" s="123">
        <v>64500</v>
      </c>
      <c r="G18" s="122">
        <f t="shared" si="4"/>
        <v>2042</v>
      </c>
      <c r="H18" s="293">
        <f t="shared" si="2"/>
        <v>1101.882267</v>
      </c>
      <c r="I18" s="151"/>
      <c r="J18" s="166">
        <f t="shared" si="3"/>
        <v>1101.882267</v>
      </c>
    </row>
    <row r="19" spans="3:10" ht="16.5" thickBot="1" x14ac:dyDescent="0.3">
      <c r="C19" s="300">
        <f t="shared" si="0"/>
        <v>17083.446</v>
      </c>
      <c r="D19" s="268">
        <f t="shared" si="1"/>
        <v>1.7083445999999999E-2</v>
      </c>
      <c r="E19" s="122">
        <v>2.5</v>
      </c>
      <c r="F19" s="123">
        <v>64500</v>
      </c>
      <c r="G19" s="122">
        <f t="shared" si="4"/>
        <v>2043</v>
      </c>
      <c r="H19" s="293">
        <f t="shared" si="2"/>
        <v>1101.882267</v>
      </c>
      <c r="I19" s="146"/>
      <c r="J19" s="161">
        <f t="shared" si="3"/>
        <v>1101.882267</v>
      </c>
    </row>
    <row r="20" spans="3:10" ht="16.5" thickBot="1" x14ac:dyDescent="0.3">
      <c r="C20" s="300">
        <f t="shared" si="0"/>
        <v>17083.446</v>
      </c>
      <c r="D20" s="268">
        <f t="shared" si="1"/>
        <v>1.7083445999999999E-2</v>
      </c>
      <c r="E20" s="122">
        <v>2.5</v>
      </c>
      <c r="F20" s="123">
        <v>64500</v>
      </c>
      <c r="G20" s="122">
        <f t="shared" si="4"/>
        <v>2044</v>
      </c>
      <c r="H20" s="293">
        <f t="shared" si="2"/>
        <v>1101.882267</v>
      </c>
      <c r="I20" s="147"/>
      <c r="J20" s="162">
        <f t="shared" si="3"/>
        <v>1101.882267</v>
      </c>
    </row>
    <row r="21" spans="3:10" ht="16.5" thickBot="1" x14ac:dyDescent="0.3">
      <c r="C21" s="300">
        <f t="shared" si="0"/>
        <v>17083.446</v>
      </c>
      <c r="D21" s="268">
        <f t="shared" si="1"/>
        <v>1.7083445999999999E-2</v>
      </c>
      <c r="E21" s="122">
        <v>2.5</v>
      </c>
      <c r="F21" s="123">
        <v>64500</v>
      </c>
      <c r="G21" s="122">
        <f t="shared" si="4"/>
        <v>2045</v>
      </c>
      <c r="H21" s="293">
        <f t="shared" si="2"/>
        <v>1101.882267</v>
      </c>
      <c r="I21" s="151"/>
      <c r="J21" s="166">
        <f t="shared" si="3"/>
        <v>1101.882267</v>
      </c>
    </row>
    <row r="22" spans="3:10" ht="16.5" thickBot="1" x14ac:dyDescent="0.3">
      <c r="C22" s="300">
        <f t="shared" si="0"/>
        <v>17083.446</v>
      </c>
      <c r="D22" s="268">
        <f t="shared" si="1"/>
        <v>1.7083445999999999E-2</v>
      </c>
      <c r="E22" s="122">
        <v>2.5</v>
      </c>
      <c r="F22" s="123">
        <v>64500</v>
      </c>
      <c r="G22" s="122">
        <f t="shared" si="4"/>
        <v>2046</v>
      </c>
      <c r="H22" s="293">
        <f t="shared" si="2"/>
        <v>1101.882267</v>
      </c>
      <c r="I22" s="146"/>
      <c r="J22" s="161">
        <f t="shared" si="3"/>
        <v>1101.882267</v>
      </c>
    </row>
    <row r="23" spans="3:10" ht="16.5" thickBot="1" x14ac:dyDescent="0.3">
      <c r="C23" s="300">
        <f t="shared" si="0"/>
        <v>17083.446</v>
      </c>
      <c r="D23" s="268">
        <f t="shared" si="1"/>
        <v>1.7083445999999999E-2</v>
      </c>
      <c r="E23" s="122">
        <v>2.5</v>
      </c>
      <c r="F23" s="123">
        <v>64500</v>
      </c>
      <c r="G23" s="122">
        <f t="shared" si="4"/>
        <v>2047</v>
      </c>
      <c r="H23" s="293">
        <f t="shared" si="2"/>
        <v>1101.882267</v>
      </c>
      <c r="I23" s="147"/>
      <c r="J23" s="161">
        <f t="shared" si="3"/>
        <v>1101.882267</v>
      </c>
    </row>
    <row r="24" spans="3:10" ht="16.5" thickBot="1" x14ac:dyDescent="0.3">
      <c r="C24" s="300">
        <f t="shared" si="0"/>
        <v>17083.446</v>
      </c>
      <c r="D24" s="268">
        <f t="shared" si="1"/>
        <v>1.7083445999999999E-2</v>
      </c>
      <c r="E24" s="122">
        <v>2.5</v>
      </c>
      <c r="F24" s="123">
        <v>64500</v>
      </c>
      <c r="G24" s="122">
        <f t="shared" si="4"/>
        <v>2048</v>
      </c>
      <c r="H24" s="293">
        <f t="shared" si="2"/>
        <v>1101.882267</v>
      </c>
      <c r="I24" s="152"/>
      <c r="J24" s="164">
        <f t="shared" si="3"/>
        <v>1101.882267</v>
      </c>
    </row>
    <row r="25" spans="3:10" ht="16.5" thickBot="1" x14ac:dyDescent="0.3">
      <c r="C25" s="300">
        <f t="shared" si="0"/>
        <v>17083.446</v>
      </c>
      <c r="D25" s="268">
        <f t="shared" si="1"/>
        <v>1.7083445999999999E-2</v>
      </c>
      <c r="E25" s="122">
        <v>2.5</v>
      </c>
      <c r="F25" s="123">
        <v>64500</v>
      </c>
      <c r="G25" s="122">
        <f t="shared" si="4"/>
        <v>2049</v>
      </c>
      <c r="H25" s="293">
        <f t="shared" si="2"/>
        <v>1101.882267</v>
      </c>
      <c r="I25" s="153"/>
      <c r="J25" s="167">
        <f t="shared" si="3"/>
        <v>1101.882267</v>
      </c>
    </row>
    <row r="26" spans="3:10" ht="16.5" thickBot="1" x14ac:dyDescent="0.3">
      <c r="C26" s="300">
        <f t="shared" si="0"/>
        <v>17083.446</v>
      </c>
      <c r="D26" s="268">
        <f t="shared" si="1"/>
        <v>1.7083445999999999E-2</v>
      </c>
      <c r="E26" s="122">
        <v>2.5</v>
      </c>
      <c r="F26" s="123">
        <v>64500</v>
      </c>
      <c r="G26" s="122">
        <f t="shared" si="4"/>
        <v>2050</v>
      </c>
      <c r="H26" s="293">
        <f t="shared" si="2"/>
        <v>1101.882267</v>
      </c>
      <c r="I26" s="153"/>
      <c r="J26" s="167">
        <f t="shared" si="3"/>
        <v>1101.882267</v>
      </c>
    </row>
    <row r="27" spans="3:10" ht="16.5" thickBot="1" x14ac:dyDescent="0.3">
      <c r="C27" s="300">
        <f t="shared" si="0"/>
        <v>17083.446</v>
      </c>
      <c r="D27" s="268">
        <f t="shared" si="1"/>
        <v>1.7083445999999999E-2</v>
      </c>
      <c r="E27" s="122">
        <v>2.5</v>
      </c>
      <c r="F27" s="123">
        <v>64500</v>
      </c>
      <c r="G27" s="122">
        <f t="shared" si="4"/>
        <v>2051</v>
      </c>
      <c r="H27" s="293">
        <f t="shared" si="2"/>
        <v>1101.882267</v>
      </c>
      <c r="I27" s="153"/>
      <c r="J27" s="167">
        <f t="shared" si="3"/>
        <v>1101.882267</v>
      </c>
    </row>
    <row r="28" spans="3:10" ht="16.5" thickBot="1" x14ac:dyDescent="0.3">
      <c r="C28" s="300">
        <f t="shared" si="0"/>
        <v>17083.446</v>
      </c>
      <c r="D28" s="268">
        <f t="shared" si="1"/>
        <v>1.7083445999999999E-2</v>
      </c>
      <c r="E28" s="122">
        <v>2.5</v>
      </c>
      <c r="F28" s="123">
        <v>64500</v>
      </c>
      <c r="G28" s="122">
        <f t="shared" si="4"/>
        <v>2052</v>
      </c>
      <c r="H28" s="293">
        <f t="shared" si="2"/>
        <v>1101.882267</v>
      </c>
      <c r="I28" s="153"/>
      <c r="J28" s="167">
        <f t="shared" si="3"/>
        <v>1101.882267</v>
      </c>
    </row>
    <row r="29" spans="3:10" ht="16.5" thickBot="1" x14ac:dyDescent="0.3">
      <c r="C29" s="300">
        <f t="shared" si="0"/>
        <v>17083.446</v>
      </c>
      <c r="D29" s="268">
        <f t="shared" si="1"/>
        <v>1.7083445999999999E-2</v>
      </c>
      <c r="E29" s="122">
        <v>2.5</v>
      </c>
      <c r="F29" s="123">
        <v>64500</v>
      </c>
      <c r="G29" s="122">
        <f t="shared" si="4"/>
        <v>2053</v>
      </c>
      <c r="H29" s="293">
        <f t="shared" si="2"/>
        <v>1101.882267</v>
      </c>
      <c r="I29" s="153"/>
      <c r="J29" s="167">
        <f t="shared" si="3"/>
        <v>1101.882267</v>
      </c>
    </row>
    <row r="30" spans="3:10" ht="16.5" thickBot="1" x14ac:dyDescent="0.3">
      <c r="C30" s="300">
        <f t="shared" si="0"/>
        <v>17083.446</v>
      </c>
      <c r="D30" s="268">
        <f t="shared" si="1"/>
        <v>1.7083445999999999E-2</v>
      </c>
      <c r="E30" s="122">
        <v>2.5</v>
      </c>
      <c r="F30" s="123">
        <v>64500</v>
      </c>
      <c r="G30" s="122">
        <f t="shared" si="4"/>
        <v>2054</v>
      </c>
      <c r="H30" s="293">
        <f t="shared" si="2"/>
        <v>1101.882267</v>
      </c>
      <c r="I30" s="153"/>
      <c r="J30" s="167">
        <f t="shared" si="3"/>
        <v>1101.882267</v>
      </c>
    </row>
    <row r="31" spans="3:10" ht="16.5" thickBot="1" x14ac:dyDescent="0.3">
      <c r="C31" s="300">
        <f t="shared" si="0"/>
        <v>17083.446</v>
      </c>
      <c r="D31" s="268">
        <f t="shared" si="1"/>
        <v>1.7083445999999999E-2</v>
      </c>
      <c r="E31" s="122">
        <v>2.5</v>
      </c>
      <c r="F31" s="123">
        <v>64500</v>
      </c>
      <c r="G31" s="122">
        <f t="shared" si="4"/>
        <v>2055</v>
      </c>
      <c r="H31" s="293">
        <f t="shared" si="2"/>
        <v>1101.882267</v>
      </c>
      <c r="I31" s="153"/>
      <c r="J31" s="167">
        <f t="shared" si="3"/>
        <v>1101.882267</v>
      </c>
    </row>
    <row r="32" spans="3:10" ht="16.5" thickBot="1" x14ac:dyDescent="0.3">
      <c r="C32" s="300">
        <f t="shared" si="0"/>
        <v>17083.446</v>
      </c>
      <c r="D32" s="268">
        <f t="shared" si="1"/>
        <v>1.7083445999999999E-2</v>
      </c>
      <c r="E32" s="122">
        <v>2.5</v>
      </c>
      <c r="F32" s="123">
        <v>64500</v>
      </c>
      <c r="G32" s="122">
        <f t="shared" si="4"/>
        <v>2056</v>
      </c>
      <c r="H32" s="293">
        <f t="shared" si="2"/>
        <v>1101.882267</v>
      </c>
      <c r="I32" s="153"/>
      <c r="J32" s="167">
        <f t="shared" si="3"/>
        <v>1101.882267</v>
      </c>
    </row>
    <row r="33" spans="3:10" ht="16.5" thickBot="1" x14ac:dyDescent="0.3">
      <c r="C33" s="300">
        <f t="shared" si="0"/>
        <v>17083.446</v>
      </c>
      <c r="D33" s="269">
        <f t="shared" si="1"/>
        <v>1.7083445999999999E-2</v>
      </c>
      <c r="E33" s="154">
        <v>2.5</v>
      </c>
      <c r="F33" s="123">
        <v>64500</v>
      </c>
      <c r="G33" s="154">
        <f t="shared" si="4"/>
        <v>2057</v>
      </c>
      <c r="H33" s="293">
        <f t="shared" si="2"/>
        <v>1101.882267</v>
      </c>
      <c r="I33" s="155"/>
      <c r="J33" s="168">
        <f t="shared" si="3"/>
        <v>1101.882267</v>
      </c>
    </row>
    <row r="34" spans="3:10" ht="16.5" thickBot="1" x14ac:dyDescent="0.3">
      <c r="C34" s="300">
        <f t="shared" si="0"/>
        <v>17083.446</v>
      </c>
      <c r="D34" s="270">
        <f t="shared" si="1"/>
        <v>1.7083445999999999E-2</v>
      </c>
      <c r="E34" s="169">
        <v>2.5</v>
      </c>
      <c r="F34" s="136">
        <v>64500</v>
      </c>
      <c r="G34" s="170">
        <f t="shared" si="4"/>
        <v>2058</v>
      </c>
      <c r="H34" s="293">
        <f t="shared" si="2"/>
        <v>1101.882267</v>
      </c>
      <c r="I34" s="171"/>
      <c r="J34" s="166">
        <f t="shared" si="3"/>
        <v>1101.882267</v>
      </c>
    </row>
    <row r="35" spans="3:10" ht="16.5" thickBot="1" x14ac:dyDescent="0.3">
      <c r="C35" s="267">
        <f>SUM(C5:C34)</f>
        <v>512503.37999999995</v>
      </c>
      <c r="D35" s="172">
        <f>SUM(D5:D34)</f>
        <v>0.51250337999999995</v>
      </c>
      <c r="E35" s="173" t="s">
        <v>103</v>
      </c>
      <c r="F35" s="177" t="s">
        <v>103</v>
      </c>
      <c r="G35" s="173" t="s">
        <v>103</v>
      </c>
      <c r="H35" s="174">
        <f>SUM(H5:H34)</f>
        <v>33037.676219400018</v>
      </c>
      <c r="I35" s="175"/>
      <c r="J35" s="176">
        <f>SUM(J5:J34)</f>
        <v>33037.676219400018</v>
      </c>
    </row>
    <row r="37" spans="3:10" x14ac:dyDescent="0.25">
      <c r="C37" s="356" t="s">
        <v>161</v>
      </c>
      <c r="D37" s="357"/>
      <c r="E37" s="357"/>
      <c r="F37" s="357"/>
      <c r="G37" s="357"/>
      <c r="H37" s="345"/>
      <c r="I37" s="345"/>
      <c r="J37" s="345"/>
    </row>
    <row r="38" spans="3:10" x14ac:dyDescent="0.25">
      <c r="C38" s="345"/>
      <c r="D38" s="345"/>
      <c r="E38" s="345"/>
      <c r="F38" s="345"/>
      <c r="G38" s="345"/>
      <c r="H38" s="345"/>
      <c r="I38" s="345"/>
      <c r="J38" s="345"/>
    </row>
    <row r="39" spans="3:10" ht="34.5" customHeight="1" x14ac:dyDescent="0.25">
      <c r="C39" s="345"/>
      <c r="D39" s="345"/>
      <c r="E39" s="345"/>
      <c r="F39" s="345"/>
      <c r="G39" s="345"/>
      <c r="H39" s="345"/>
      <c r="I39" s="345"/>
      <c r="J39" s="345"/>
    </row>
    <row r="40" spans="3:10" x14ac:dyDescent="0.25">
      <c r="C40" s="121"/>
    </row>
    <row r="41" spans="3:10" x14ac:dyDescent="0.25">
      <c r="C41" s="121"/>
    </row>
    <row r="42" spans="3:10" x14ac:dyDescent="0.25">
      <c r="C42" s="121"/>
    </row>
    <row r="43" spans="3:10" x14ac:dyDescent="0.25">
      <c r="C43" s="121"/>
    </row>
    <row r="44" spans="3:10" x14ac:dyDescent="0.25">
      <c r="C44" s="121"/>
    </row>
    <row r="45" spans="3:10" x14ac:dyDescent="0.25">
      <c r="C45" s="121"/>
    </row>
    <row r="46" spans="3:10" x14ac:dyDescent="0.25">
      <c r="C46" s="121"/>
    </row>
    <row r="47" spans="3:10" x14ac:dyDescent="0.25">
      <c r="C47" s="121"/>
    </row>
    <row r="48" spans="3:10" x14ac:dyDescent="0.25">
      <c r="C48" s="121"/>
    </row>
    <row r="49" spans="3:3" x14ac:dyDescent="0.25">
      <c r="C49" s="121"/>
    </row>
    <row r="50" spans="3:3" x14ac:dyDescent="0.25">
      <c r="C50" s="121"/>
    </row>
    <row r="51" spans="3:3" x14ac:dyDescent="0.25">
      <c r="C51" s="160"/>
    </row>
    <row r="52" spans="3:3" x14ac:dyDescent="0.25">
      <c r="C52" s="160"/>
    </row>
    <row r="53" spans="3:3" x14ac:dyDescent="0.25">
      <c r="C53" s="160"/>
    </row>
    <row r="54" spans="3:3" x14ac:dyDescent="0.25">
      <c r="C54" s="160"/>
    </row>
    <row r="55" spans="3:3" x14ac:dyDescent="0.25">
      <c r="C55" s="160"/>
    </row>
    <row r="56" spans="3:3" x14ac:dyDescent="0.25">
      <c r="C56" s="160"/>
    </row>
    <row r="57" spans="3:3" x14ac:dyDescent="0.25">
      <c r="C57" s="160"/>
    </row>
    <row r="58" spans="3:3" x14ac:dyDescent="0.25">
      <c r="C58" s="160"/>
    </row>
    <row r="59" spans="3:3" x14ac:dyDescent="0.25">
      <c r="C59" s="160"/>
    </row>
    <row r="60" spans="3:3" x14ac:dyDescent="0.25">
      <c r="C60" s="160"/>
    </row>
    <row r="61" spans="3:3" x14ac:dyDescent="0.25">
      <c r="C61" s="160"/>
    </row>
    <row r="62" spans="3:3" x14ac:dyDescent="0.25">
      <c r="C62" s="160"/>
    </row>
    <row r="63" spans="3:3" x14ac:dyDescent="0.25">
      <c r="C63" s="160"/>
    </row>
    <row r="64" spans="3:3" x14ac:dyDescent="0.25">
      <c r="C64" s="160"/>
    </row>
    <row r="65" spans="3:3" x14ac:dyDescent="0.25">
      <c r="C65" s="160"/>
    </row>
    <row r="66" spans="3:3" x14ac:dyDescent="0.25">
      <c r="C66" s="160"/>
    </row>
    <row r="67" spans="3:3" x14ac:dyDescent="0.25">
      <c r="C67" s="160"/>
    </row>
    <row r="68" spans="3:3" x14ac:dyDescent="0.25">
      <c r="C68" s="160"/>
    </row>
    <row r="69" spans="3:3" x14ac:dyDescent="0.25">
      <c r="C69" s="160"/>
    </row>
  </sheetData>
  <mergeCells count="1">
    <mergeCell ref="C37:J39"/>
  </mergeCells>
  <pageMargins left="0.7" right="0.7" top="0.75" bottom="0.7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6B2A-DE0B-4B86-A6F9-BDF1C52523DF}">
  <sheetPr>
    <pageSetUpPr fitToPage="1"/>
  </sheetPr>
  <dimension ref="C2:J73"/>
  <sheetViews>
    <sheetView topLeftCell="A5" workbookViewId="0">
      <selection activeCell="L28" sqref="L28"/>
    </sheetView>
  </sheetViews>
  <sheetFormatPr defaultRowHeight="15" x14ac:dyDescent="0.25"/>
  <cols>
    <col min="3" max="3" width="20.85546875" customWidth="1"/>
    <col min="4" max="4" width="17.28515625" customWidth="1"/>
    <col min="5" max="5" width="11.28515625" hidden="1" customWidth="1"/>
    <col min="6" max="6" width="14.5703125" customWidth="1"/>
    <col min="8" max="8" width="18.42578125" customWidth="1"/>
    <col min="9" max="9" width="14.7109375" customWidth="1"/>
    <col min="10" max="10" width="16.140625" customWidth="1"/>
  </cols>
  <sheetData>
    <row r="2" spans="3:10" ht="15.75" thickBot="1" x14ac:dyDescent="0.3"/>
    <row r="3" spans="3:10" ht="21.75" thickBot="1" x14ac:dyDescent="0.4">
      <c r="C3" s="229" t="s">
        <v>125</v>
      </c>
    </row>
    <row r="4" spans="3:10" ht="93.4" customHeight="1" thickBot="1" x14ac:dyDescent="0.3">
      <c r="C4" s="220" t="s">
        <v>126</v>
      </c>
      <c r="D4" s="221" t="s">
        <v>127</v>
      </c>
      <c r="E4" s="221" t="s">
        <v>106</v>
      </c>
      <c r="F4" s="221" t="s">
        <v>152</v>
      </c>
      <c r="G4" s="221" t="s">
        <v>0</v>
      </c>
      <c r="H4" s="214" t="s">
        <v>166</v>
      </c>
      <c r="I4" s="135"/>
      <c r="J4" s="135"/>
    </row>
    <row r="5" spans="3:10" ht="16.5" thickBot="1" x14ac:dyDescent="0.3">
      <c r="C5" s="299">
        <f>(38218.1/0.1678)*0.0094</f>
        <v>2140.9424314660309</v>
      </c>
      <c r="D5" s="139">
        <f t="shared" ref="D5:D34" si="0">C5*0.0000011023</f>
        <v>2.3599608422050057E-3</v>
      </c>
      <c r="E5" s="122">
        <v>2.5</v>
      </c>
      <c r="F5" s="273">
        <v>1122600</v>
      </c>
      <c r="G5" s="122">
        <v>2029</v>
      </c>
      <c r="H5" s="274">
        <f>D5*F5</f>
        <v>2649.2920414593395</v>
      </c>
      <c r="I5" s="140"/>
      <c r="J5" s="137"/>
    </row>
    <row r="6" spans="3:10" ht="16.5" thickBot="1" x14ac:dyDescent="0.3">
      <c r="C6" s="299">
        <f t="shared" ref="C6:C34" si="1">(38218.1/0.1678)*0.0094</f>
        <v>2140.9424314660309</v>
      </c>
      <c r="D6" s="139">
        <f t="shared" si="0"/>
        <v>2.3599608422050057E-3</v>
      </c>
      <c r="E6" s="122">
        <v>2.5</v>
      </c>
      <c r="F6" s="273">
        <v>1140500</v>
      </c>
      <c r="G6" s="122">
        <f>G5+1</f>
        <v>2030</v>
      </c>
      <c r="H6" s="274">
        <f t="shared" ref="H6:H34" si="2">D6*F6</f>
        <v>2691.5353405348092</v>
      </c>
      <c r="I6" s="140"/>
      <c r="J6" s="137"/>
    </row>
    <row r="7" spans="3:10" ht="16.5" thickBot="1" x14ac:dyDescent="0.3">
      <c r="C7" s="299">
        <f t="shared" si="1"/>
        <v>2140.9424314660309</v>
      </c>
      <c r="D7" s="139">
        <f t="shared" si="0"/>
        <v>2.3599608422050057E-3</v>
      </c>
      <c r="E7" s="122">
        <v>2.5</v>
      </c>
      <c r="F7" s="273">
        <v>1140500</v>
      </c>
      <c r="G7" s="122">
        <f t="shared" ref="G7:G34" si="3">G6+1</f>
        <v>2031</v>
      </c>
      <c r="H7" s="274">
        <f t="shared" si="2"/>
        <v>2691.5353405348092</v>
      </c>
      <c r="I7" s="140"/>
      <c r="J7" s="137"/>
    </row>
    <row r="8" spans="3:10" ht="16.5" thickBot="1" x14ac:dyDescent="0.3">
      <c r="C8" s="299">
        <f t="shared" si="1"/>
        <v>2140.9424314660309</v>
      </c>
      <c r="D8" s="139">
        <f t="shared" si="0"/>
        <v>2.3599608422050057E-3</v>
      </c>
      <c r="E8" s="122">
        <v>2.5</v>
      </c>
      <c r="F8" s="273">
        <v>1140500</v>
      </c>
      <c r="G8" s="122">
        <f t="shared" si="3"/>
        <v>2032</v>
      </c>
      <c r="H8" s="274">
        <f t="shared" si="2"/>
        <v>2691.5353405348092</v>
      </c>
      <c r="I8" s="140"/>
      <c r="J8" s="137"/>
    </row>
    <row r="9" spans="3:10" ht="16.5" thickBot="1" x14ac:dyDescent="0.3">
      <c r="C9" s="299">
        <f t="shared" si="1"/>
        <v>2140.9424314660309</v>
      </c>
      <c r="D9" s="139">
        <f t="shared" si="0"/>
        <v>2.3599608422050057E-3</v>
      </c>
      <c r="E9" s="122">
        <v>2.5</v>
      </c>
      <c r="F9" s="273">
        <v>1140500</v>
      </c>
      <c r="G9" s="122">
        <f t="shared" si="3"/>
        <v>2033</v>
      </c>
      <c r="H9" s="274">
        <f t="shared" si="2"/>
        <v>2691.5353405348092</v>
      </c>
      <c r="I9" s="140"/>
      <c r="J9" s="137"/>
    </row>
    <row r="10" spans="3:10" ht="16.5" thickBot="1" x14ac:dyDescent="0.3">
      <c r="C10" s="299">
        <f t="shared" si="1"/>
        <v>2140.9424314660309</v>
      </c>
      <c r="D10" s="139">
        <f t="shared" si="0"/>
        <v>2.3599608422050057E-3</v>
      </c>
      <c r="E10" s="122">
        <v>2.5</v>
      </c>
      <c r="F10" s="273">
        <v>1140500</v>
      </c>
      <c r="G10" s="122">
        <f t="shared" si="3"/>
        <v>2034</v>
      </c>
      <c r="H10" s="274">
        <f t="shared" si="2"/>
        <v>2691.5353405348092</v>
      </c>
      <c r="I10" s="140"/>
      <c r="J10" s="137"/>
    </row>
    <row r="11" spans="3:10" ht="16.5" thickBot="1" x14ac:dyDescent="0.3">
      <c r="C11" s="299">
        <f t="shared" si="1"/>
        <v>2140.9424314660309</v>
      </c>
      <c r="D11" s="139">
        <f t="shared" si="0"/>
        <v>2.3599608422050057E-3</v>
      </c>
      <c r="E11" s="122">
        <v>2.5</v>
      </c>
      <c r="F11" s="273">
        <v>1140500</v>
      </c>
      <c r="G11" s="122">
        <f t="shared" si="3"/>
        <v>2035</v>
      </c>
      <c r="H11" s="274">
        <f t="shared" si="2"/>
        <v>2691.5353405348092</v>
      </c>
      <c r="I11" s="140"/>
      <c r="J11" s="137"/>
    </row>
    <row r="12" spans="3:10" ht="16.5" thickBot="1" x14ac:dyDescent="0.3">
      <c r="C12" s="299">
        <f t="shared" si="1"/>
        <v>2140.9424314660309</v>
      </c>
      <c r="D12" s="139">
        <f t="shared" si="0"/>
        <v>2.3599608422050057E-3</v>
      </c>
      <c r="E12" s="122">
        <v>2.5</v>
      </c>
      <c r="F12" s="273">
        <v>1140500</v>
      </c>
      <c r="G12" s="122">
        <f t="shared" si="3"/>
        <v>2036</v>
      </c>
      <c r="H12" s="274">
        <f t="shared" si="2"/>
        <v>2691.5353405348092</v>
      </c>
      <c r="I12" s="140"/>
      <c r="J12" s="137"/>
    </row>
    <row r="13" spans="3:10" ht="16.5" thickBot="1" x14ac:dyDescent="0.3">
      <c r="C13" s="299">
        <f t="shared" si="1"/>
        <v>2140.9424314660309</v>
      </c>
      <c r="D13" s="139">
        <f t="shared" si="0"/>
        <v>2.3599608422050057E-3</v>
      </c>
      <c r="E13" s="122">
        <v>2.5</v>
      </c>
      <c r="F13" s="273">
        <v>1140500</v>
      </c>
      <c r="G13" s="122">
        <f t="shared" si="3"/>
        <v>2037</v>
      </c>
      <c r="H13" s="274">
        <f t="shared" si="2"/>
        <v>2691.5353405348092</v>
      </c>
      <c r="I13" s="140"/>
      <c r="J13" s="137"/>
    </row>
    <row r="14" spans="3:10" ht="16.5" thickBot="1" x14ac:dyDescent="0.3">
      <c r="C14" s="299">
        <f t="shared" si="1"/>
        <v>2140.9424314660309</v>
      </c>
      <c r="D14" s="139">
        <f t="shared" si="0"/>
        <v>2.3599608422050057E-3</v>
      </c>
      <c r="E14" s="122">
        <v>2.5</v>
      </c>
      <c r="F14" s="273">
        <v>1140500</v>
      </c>
      <c r="G14" s="122">
        <f t="shared" si="3"/>
        <v>2038</v>
      </c>
      <c r="H14" s="274">
        <f t="shared" si="2"/>
        <v>2691.5353405348092</v>
      </c>
      <c r="I14" s="140"/>
      <c r="J14" s="137"/>
    </row>
    <row r="15" spans="3:10" ht="16.5" thickBot="1" x14ac:dyDescent="0.3">
      <c r="C15" s="299">
        <f t="shared" si="1"/>
        <v>2140.9424314660309</v>
      </c>
      <c r="D15" s="139">
        <f t="shared" si="0"/>
        <v>2.3599608422050057E-3</v>
      </c>
      <c r="E15" s="122">
        <v>2.5</v>
      </c>
      <c r="F15" s="273">
        <v>1140500</v>
      </c>
      <c r="G15" s="122">
        <f t="shared" si="3"/>
        <v>2039</v>
      </c>
      <c r="H15" s="274">
        <f t="shared" si="2"/>
        <v>2691.5353405348092</v>
      </c>
      <c r="I15" s="140"/>
      <c r="J15" s="137"/>
    </row>
    <row r="16" spans="3:10" ht="16.5" thickBot="1" x14ac:dyDescent="0.3">
      <c r="C16" s="299">
        <f t="shared" si="1"/>
        <v>2140.9424314660309</v>
      </c>
      <c r="D16" s="139">
        <f t="shared" si="0"/>
        <v>2.3599608422050057E-3</v>
      </c>
      <c r="E16" s="122">
        <v>2.5</v>
      </c>
      <c r="F16" s="273">
        <v>1140500</v>
      </c>
      <c r="G16" s="122">
        <f t="shared" si="3"/>
        <v>2040</v>
      </c>
      <c r="H16" s="274">
        <f t="shared" si="2"/>
        <v>2691.5353405348092</v>
      </c>
      <c r="I16" s="140"/>
      <c r="J16" s="137"/>
    </row>
    <row r="17" spans="3:10" ht="16.5" thickBot="1" x14ac:dyDescent="0.3">
      <c r="C17" s="299">
        <f t="shared" si="1"/>
        <v>2140.9424314660309</v>
      </c>
      <c r="D17" s="139">
        <f t="shared" si="0"/>
        <v>2.3599608422050057E-3</v>
      </c>
      <c r="E17" s="122">
        <v>2.5</v>
      </c>
      <c r="F17" s="273">
        <v>1140500</v>
      </c>
      <c r="G17" s="122">
        <f t="shared" si="3"/>
        <v>2041</v>
      </c>
      <c r="H17" s="274">
        <f t="shared" si="2"/>
        <v>2691.5353405348092</v>
      </c>
      <c r="I17" s="140"/>
      <c r="J17" s="137"/>
    </row>
    <row r="18" spans="3:10" ht="16.5" thickBot="1" x14ac:dyDescent="0.3">
      <c r="C18" s="299">
        <f t="shared" si="1"/>
        <v>2140.9424314660309</v>
      </c>
      <c r="D18" s="139">
        <f t="shared" si="0"/>
        <v>2.3599608422050057E-3</v>
      </c>
      <c r="E18" s="122">
        <v>2.5</v>
      </c>
      <c r="F18" s="273">
        <v>1140500</v>
      </c>
      <c r="G18" s="122">
        <f t="shared" si="3"/>
        <v>2042</v>
      </c>
      <c r="H18" s="274">
        <f t="shared" si="2"/>
        <v>2691.5353405348092</v>
      </c>
      <c r="I18" s="140"/>
      <c r="J18" s="137"/>
    </row>
    <row r="19" spans="3:10" ht="16.5" thickBot="1" x14ac:dyDescent="0.3">
      <c r="C19" s="299">
        <f t="shared" si="1"/>
        <v>2140.9424314660309</v>
      </c>
      <c r="D19" s="139">
        <f t="shared" si="0"/>
        <v>2.3599608422050057E-3</v>
      </c>
      <c r="E19" s="122">
        <v>2.5</v>
      </c>
      <c r="F19" s="273">
        <v>1140500</v>
      </c>
      <c r="G19" s="122">
        <f t="shared" si="3"/>
        <v>2043</v>
      </c>
      <c r="H19" s="274">
        <f t="shared" si="2"/>
        <v>2691.5353405348092</v>
      </c>
      <c r="I19" s="140"/>
      <c r="J19" s="137"/>
    </row>
    <row r="20" spans="3:10" ht="16.5" thickBot="1" x14ac:dyDescent="0.3">
      <c r="C20" s="299">
        <f t="shared" si="1"/>
        <v>2140.9424314660309</v>
      </c>
      <c r="D20" s="139">
        <f t="shared" si="0"/>
        <v>2.3599608422050057E-3</v>
      </c>
      <c r="E20" s="122">
        <v>2.5</v>
      </c>
      <c r="F20" s="273">
        <v>1140500</v>
      </c>
      <c r="G20" s="122">
        <f t="shared" si="3"/>
        <v>2044</v>
      </c>
      <c r="H20" s="274">
        <f t="shared" si="2"/>
        <v>2691.5353405348092</v>
      </c>
      <c r="I20" s="140"/>
      <c r="J20" s="137"/>
    </row>
    <row r="21" spans="3:10" ht="16.5" thickBot="1" x14ac:dyDescent="0.3">
      <c r="C21" s="299">
        <f t="shared" si="1"/>
        <v>2140.9424314660309</v>
      </c>
      <c r="D21" s="139">
        <f t="shared" si="0"/>
        <v>2.3599608422050057E-3</v>
      </c>
      <c r="E21" s="122">
        <v>2.5</v>
      </c>
      <c r="F21" s="273">
        <v>1140500</v>
      </c>
      <c r="G21" s="122">
        <f t="shared" si="3"/>
        <v>2045</v>
      </c>
      <c r="H21" s="274">
        <f t="shared" si="2"/>
        <v>2691.5353405348092</v>
      </c>
      <c r="I21" s="140"/>
      <c r="J21" s="137"/>
    </row>
    <row r="22" spans="3:10" ht="16.5" thickBot="1" x14ac:dyDescent="0.3">
      <c r="C22" s="299">
        <f t="shared" si="1"/>
        <v>2140.9424314660309</v>
      </c>
      <c r="D22" s="141">
        <f t="shared" si="0"/>
        <v>2.3599608422050057E-3</v>
      </c>
      <c r="E22" s="122">
        <v>2.5</v>
      </c>
      <c r="F22" s="273">
        <v>1140500</v>
      </c>
      <c r="G22" s="122">
        <f t="shared" si="3"/>
        <v>2046</v>
      </c>
      <c r="H22" s="274">
        <f t="shared" si="2"/>
        <v>2691.5353405348092</v>
      </c>
      <c r="I22" s="140"/>
      <c r="J22" s="137"/>
    </row>
    <row r="23" spans="3:10" ht="16.5" thickBot="1" x14ac:dyDescent="0.3">
      <c r="C23" s="299">
        <f t="shared" si="1"/>
        <v>2140.9424314660309</v>
      </c>
      <c r="D23" s="142">
        <f t="shared" si="0"/>
        <v>2.3599608422050057E-3</v>
      </c>
      <c r="E23" s="122">
        <v>2.5</v>
      </c>
      <c r="F23" s="273">
        <v>1140500</v>
      </c>
      <c r="G23" s="122">
        <f t="shared" si="3"/>
        <v>2047</v>
      </c>
      <c r="H23" s="274">
        <f t="shared" si="2"/>
        <v>2691.5353405348092</v>
      </c>
      <c r="I23" s="140"/>
      <c r="J23" s="137"/>
    </row>
    <row r="24" spans="3:10" ht="16.5" thickBot="1" x14ac:dyDescent="0.3">
      <c r="C24" s="299">
        <f t="shared" si="1"/>
        <v>2140.9424314660309</v>
      </c>
      <c r="D24" s="139">
        <f t="shared" si="0"/>
        <v>2.3599608422050057E-3</v>
      </c>
      <c r="E24" s="122">
        <v>2.5</v>
      </c>
      <c r="F24" s="273">
        <v>1140500</v>
      </c>
      <c r="G24" s="122">
        <f t="shared" si="3"/>
        <v>2048</v>
      </c>
      <c r="H24" s="274">
        <f t="shared" si="2"/>
        <v>2691.5353405348092</v>
      </c>
      <c r="I24" s="140"/>
      <c r="J24" s="137"/>
    </row>
    <row r="25" spans="3:10" ht="16.5" thickBot="1" x14ac:dyDescent="0.3">
      <c r="C25" s="299">
        <f t="shared" si="1"/>
        <v>2140.9424314660309</v>
      </c>
      <c r="D25" s="139">
        <f t="shared" si="0"/>
        <v>2.3599608422050057E-3</v>
      </c>
      <c r="E25" s="122">
        <v>2.5</v>
      </c>
      <c r="F25" s="273">
        <v>1140500</v>
      </c>
      <c r="G25" s="122">
        <f t="shared" si="3"/>
        <v>2049</v>
      </c>
      <c r="H25" s="274">
        <f t="shared" si="2"/>
        <v>2691.5353405348092</v>
      </c>
      <c r="I25" s="140"/>
      <c r="J25" s="137"/>
    </row>
    <row r="26" spans="3:10" ht="16.5" thickBot="1" x14ac:dyDescent="0.3">
      <c r="C26" s="299">
        <f t="shared" si="1"/>
        <v>2140.9424314660309</v>
      </c>
      <c r="D26" s="139">
        <f t="shared" si="0"/>
        <v>2.3599608422050057E-3</v>
      </c>
      <c r="E26" s="122">
        <v>2.5</v>
      </c>
      <c r="F26" s="273">
        <v>1140500</v>
      </c>
      <c r="G26" s="122">
        <f t="shared" si="3"/>
        <v>2050</v>
      </c>
      <c r="H26" s="274">
        <f t="shared" si="2"/>
        <v>2691.5353405348092</v>
      </c>
      <c r="I26" s="140"/>
      <c r="J26" s="137"/>
    </row>
    <row r="27" spans="3:10" ht="16.5" thickBot="1" x14ac:dyDescent="0.3">
      <c r="C27" s="299">
        <f t="shared" si="1"/>
        <v>2140.9424314660309</v>
      </c>
      <c r="D27" s="139">
        <f t="shared" si="0"/>
        <v>2.3599608422050057E-3</v>
      </c>
      <c r="E27" s="122">
        <v>2.5</v>
      </c>
      <c r="F27" s="273">
        <v>1140500</v>
      </c>
      <c r="G27" s="122">
        <f t="shared" si="3"/>
        <v>2051</v>
      </c>
      <c r="H27" s="274">
        <f t="shared" si="2"/>
        <v>2691.5353405348092</v>
      </c>
      <c r="I27" s="140"/>
      <c r="J27" s="137"/>
    </row>
    <row r="28" spans="3:10" ht="16.5" thickBot="1" x14ac:dyDescent="0.3">
      <c r="C28" s="299">
        <f t="shared" si="1"/>
        <v>2140.9424314660309</v>
      </c>
      <c r="D28" s="139">
        <f t="shared" si="0"/>
        <v>2.3599608422050057E-3</v>
      </c>
      <c r="E28" s="122">
        <v>2.5</v>
      </c>
      <c r="F28" s="273">
        <v>1140500</v>
      </c>
      <c r="G28" s="122">
        <f t="shared" si="3"/>
        <v>2052</v>
      </c>
      <c r="H28" s="274">
        <f t="shared" si="2"/>
        <v>2691.5353405348092</v>
      </c>
      <c r="I28" s="140"/>
      <c r="J28" s="137"/>
    </row>
    <row r="29" spans="3:10" ht="16.5" thickBot="1" x14ac:dyDescent="0.3">
      <c r="C29" s="299">
        <f t="shared" si="1"/>
        <v>2140.9424314660309</v>
      </c>
      <c r="D29" s="139">
        <f t="shared" si="0"/>
        <v>2.3599608422050057E-3</v>
      </c>
      <c r="E29" s="122">
        <v>2.5</v>
      </c>
      <c r="F29" s="273">
        <v>1140500</v>
      </c>
      <c r="G29" s="122">
        <f t="shared" si="3"/>
        <v>2053</v>
      </c>
      <c r="H29" s="274">
        <f t="shared" si="2"/>
        <v>2691.5353405348092</v>
      </c>
      <c r="I29" s="140"/>
      <c r="J29" s="137"/>
    </row>
    <row r="30" spans="3:10" ht="16.5" thickBot="1" x14ac:dyDescent="0.3">
      <c r="C30" s="299">
        <f t="shared" si="1"/>
        <v>2140.9424314660309</v>
      </c>
      <c r="D30" s="139">
        <f t="shared" si="0"/>
        <v>2.3599608422050057E-3</v>
      </c>
      <c r="E30" s="122">
        <v>2.5</v>
      </c>
      <c r="F30" s="273">
        <v>1140500</v>
      </c>
      <c r="G30" s="122">
        <f t="shared" si="3"/>
        <v>2054</v>
      </c>
      <c r="H30" s="274">
        <f t="shared" si="2"/>
        <v>2691.5353405348092</v>
      </c>
      <c r="I30" s="140"/>
      <c r="J30" s="137"/>
    </row>
    <row r="31" spans="3:10" ht="16.5" thickBot="1" x14ac:dyDescent="0.3">
      <c r="C31" s="299">
        <f t="shared" si="1"/>
        <v>2140.9424314660309</v>
      </c>
      <c r="D31" s="139">
        <f t="shared" si="0"/>
        <v>2.3599608422050057E-3</v>
      </c>
      <c r="E31" s="122">
        <v>2.5</v>
      </c>
      <c r="F31" s="273">
        <v>1140500</v>
      </c>
      <c r="G31" s="122">
        <f t="shared" si="3"/>
        <v>2055</v>
      </c>
      <c r="H31" s="274">
        <f t="shared" si="2"/>
        <v>2691.5353405348092</v>
      </c>
      <c r="I31" s="140"/>
      <c r="J31" s="137"/>
    </row>
    <row r="32" spans="3:10" ht="16.5" thickBot="1" x14ac:dyDescent="0.3">
      <c r="C32" s="299">
        <f t="shared" si="1"/>
        <v>2140.9424314660309</v>
      </c>
      <c r="D32" s="139">
        <f t="shared" si="0"/>
        <v>2.3599608422050057E-3</v>
      </c>
      <c r="E32" s="122">
        <v>2.5</v>
      </c>
      <c r="F32" s="273">
        <v>1140500</v>
      </c>
      <c r="G32" s="122">
        <f t="shared" si="3"/>
        <v>2056</v>
      </c>
      <c r="H32" s="274">
        <f t="shared" si="2"/>
        <v>2691.5353405348092</v>
      </c>
      <c r="I32" s="140"/>
      <c r="J32" s="137"/>
    </row>
    <row r="33" spans="3:10" ht="16.5" thickBot="1" x14ac:dyDescent="0.3">
      <c r="C33" s="299">
        <f t="shared" si="1"/>
        <v>2140.9424314660309</v>
      </c>
      <c r="D33" s="139">
        <f t="shared" si="0"/>
        <v>2.3599608422050057E-3</v>
      </c>
      <c r="E33" s="122">
        <v>2.5</v>
      </c>
      <c r="F33" s="273">
        <v>1140500</v>
      </c>
      <c r="G33" s="122">
        <f t="shared" si="3"/>
        <v>2057</v>
      </c>
      <c r="H33" s="274">
        <f t="shared" si="2"/>
        <v>2691.5353405348092</v>
      </c>
      <c r="I33" s="140"/>
      <c r="J33" s="137"/>
    </row>
    <row r="34" spans="3:10" ht="16.5" thickBot="1" x14ac:dyDescent="0.3">
      <c r="C34" s="299">
        <f t="shared" si="1"/>
        <v>2140.9424314660309</v>
      </c>
      <c r="D34" s="139">
        <f t="shared" si="0"/>
        <v>2.3599608422050057E-3</v>
      </c>
      <c r="E34" s="122">
        <v>2.5</v>
      </c>
      <c r="F34" s="273">
        <v>1140500</v>
      </c>
      <c r="G34" s="122">
        <f t="shared" si="3"/>
        <v>2058</v>
      </c>
      <c r="H34" s="274">
        <f t="shared" si="2"/>
        <v>2691.5353405348092</v>
      </c>
      <c r="I34" s="140"/>
      <c r="J34" s="137"/>
    </row>
    <row r="35" spans="3:10" ht="16.5" thickBot="1" x14ac:dyDescent="0.3">
      <c r="C35" s="298">
        <f>SUM(C5:C34)</f>
        <v>64228.272943980897</v>
      </c>
      <c r="D35" s="179">
        <f>SUM(D5:D34)</f>
        <v>7.0798825266150209E-2</v>
      </c>
      <c r="E35" s="132">
        <v>2.5</v>
      </c>
      <c r="F35" s="132" t="s">
        <v>103</v>
      </c>
      <c r="G35" s="132" t="s">
        <v>103</v>
      </c>
      <c r="H35" s="261">
        <f>SUM(H5:H34)</f>
        <v>80703.816916968819</v>
      </c>
      <c r="I35" s="143"/>
      <c r="J35" s="138"/>
    </row>
    <row r="37" spans="3:10" ht="15" customHeight="1" x14ac:dyDescent="0.25">
      <c r="C37" s="358" t="s">
        <v>160</v>
      </c>
      <c r="D37" s="358"/>
      <c r="E37" s="358"/>
    </row>
    <row r="38" spans="3:10" ht="93" customHeight="1" x14ac:dyDescent="0.25">
      <c r="C38" s="358"/>
      <c r="D38" s="358"/>
      <c r="E38" s="358"/>
    </row>
    <row r="39" spans="3:10" ht="15.75" x14ac:dyDescent="0.25">
      <c r="C39" s="231" t="s">
        <v>151</v>
      </c>
      <c r="D39" s="230"/>
      <c r="E39" s="230"/>
      <c r="F39" s="92"/>
    </row>
    <row r="40" spans="3:10" ht="15.75" x14ac:dyDescent="0.25">
      <c r="C40" s="144"/>
      <c r="D40" s="144"/>
      <c r="E40" s="144"/>
    </row>
    <row r="42" spans="3:10" x14ac:dyDescent="0.25">
      <c r="C42" s="160"/>
    </row>
    <row r="43" spans="3:10" x14ac:dyDescent="0.25">
      <c r="C43" s="160"/>
    </row>
    <row r="44" spans="3:10" x14ac:dyDescent="0.25">
      <c r="C44" s="160"/>
    </row>
    <row r="45" spans="3:10" x14ac:dyDescent="0.25">
      <c r="C45" s="160"/>
    </row>
    <row r="46" spans="3:10" x14ac:dyDescent="0.25">
      <c r="C46" s="160"/>
    </row>
    <row r="47" spans="3:10" x14ac:dyDescent="0.25">
      <c r="C47" s="160"/>
    </row>
    <row r="48" spans="3:10" x14ac:dyDescent="0.25">
      <c r="C48" s="160"/>
    </row>
    <row r="49" spans="3:3" x14ac:dyDescent="0.25">
      <c r="C49" s="160"/>
    </row>
    <row r="50" spans="3:3" x14ac:dyDescent="0.25">
      <c r="C50" s="160"/>
    </row>
    <row r="51" spans="3:3" x14ac:dyDescent="0.25">
      <c r="C51" s="160"/>
    </row>
    <row r="52" spans="3:3" x14ac:dyDescent="0.25">
      <c r="C52" s="160"/>
    </row>
    <row r="53" spans="3:3" x14ac:dyDescent="0.25">
      <c r="C53" s="160"/>
    </row>
    <row r="54" spans="3:3" x14ac:dyDescent="0.25">
      <c r="C54" s="160"/>
    </row>
    <row r="55" spans="3:3" x14ac:dyDescent="0.25">
      <c r="C55" s="160"/>
    </row>
    <row r="56" spans="3:3" x14ac:dyDescent="0.25">
      <c r="C56" s="160"/>
    </row>
    <row r="57" spans="3:3" x14ac:dyDescent="0.25">
      <c r="C57" s="160"/>
    </row>
    <row r="58" spans="3:3" x14ac:dyDescent="0.25">
      <c r="C58" s="160"/>
    </row>
    <row r="59" spans="3:3" x14ac:dyDescent="0.25">
      <c r="C59" s="160"/>
    </row>
    <row r="60" spans="3:3" x14ac:dyDescent="0.25">
      <c r="C60" s="160"/>
    </row>
    <row r="61" spans="3:3" x14ac:dyDescent="0.25">
      <c r="C61" s="160"/>
    </row>
    <row r="62" spans="3:3" x14ac:dyDescent="0.25">
      <c r="C62" s="160"/>
    </row>
    <row r="63" spans="3:3" x14ac:dyDescent="0.25">
      <c r="C63" s="160"/>
    </row>
    <row r="64" spans="3:3" x14ac:dyDescent="0.25">
      <c r="C64" s="160"/>
    </row>
    <row r="65" spans="3:3" x14ac:dyDescent="0.25">
      <c r="C65" s="160"/>
    </row>
    <row r="66" spans="3:3" x14ac:dyDescent="0.25">
      <c r="C66" s="160"/>
    </row>
    <row r="67" spans="3:3" x14ac:dyDescent="0.25">
      <c r="C67" s="160"/>
    </row>
    <row r="68" spans="3:3" x14ac:dyDescent="0.25">
      <c r="C68" s="160"/>
    </row>
    <row r="69" spans="3:3" x14ac:dyDescent="0.25">
      <c r="C69" s="160"/>
    </row>
    <row r="70" spans="3:3" x14ac:dyDescent="0.25">
      <c r="C70" s="160"/>
    </row>
    <row r="71" spans="3:3" x14ac:dyDescent="0.25">
      <c r="C71" s="160"/>
    </row>
    <row r="72" spans="3:3" x14ac:dyDescent="0.25">
      <c r="C72" s="160"/>
    </row>
    <row r="73" spans="3:3" x14ac:dyDescent="0.25">
      <c r="C73" s="160"/>
    </row>
  </sheetData>
  <mergeCells count="1">
    <mergeCell ref="C37:E38"/>
  </mergeCells>
  <pageMargins left="0.7" right="0.7" top="0.75" bottom="0.7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5157-4FEF-4D33-8226-49AA372CF1DA}">
  <sheetPr>
    <pageSetUpPr fitToPage="1"/>
  </sheetPr>
  <dimension ref="C2:J73"/>
  <sheetViews>
    <sheetView topLeftCell="A5" workbookViewId="0">
      <selection activeCell="L17" sqref="L17"/>
    </sheetView>
  </sheetViews>
  <sheetFormatPr defaultRowHeight="15" x14ac:dyDescent="0.25"/>
  <cols>
    <col min="3" max="4" width="17.28515625" customWidth="1"/>
    <col min="5" max="5" width="11.28515625" hidden="1" customWidth="1"/>
    <col min="6" max="6" width="12.85546875" customWidth="1"/>
    <col min="8" max="8" width="18.42578125" customWidth="1"/>
    <col min="9" max="9" width="14.7109375" customWidth="1"/>
    <col min="10" max="10" width="16.140625" customWidth="1"/>
  </cols>
  <sheetData>
    <row r="2" spans="3:10" ht="15.75" thickBot="1" x14ac:dyDescent="0.3"/>
    <row r="3" spans="3:10" ht="21.75" thickBot="1" x14ac:dyDescent="0.4">
      <c r="C3" s="229" t="s">
        <v>154</v>
      </c>
      <c r="D3" s="271"/>
    </row>
    <row r="4" spans="3:10" ht="93.4" customHeight="1" thickBot="1" x14ac:dyDescent="0.3">
      <c r="C4" s="220" t="s">
        <v>109</v>
      </c>
      <c r="D4" s="221" t="s">
        <v>178</v>
      </c>
      <c r="E4" s="221" t="s">
        <v>106</v>
      </c>
      <c r="F4" s="221" t="s">
        <v>179</v>
      </c>
      <c r="G4" s="221" t="s">
        <v>0</v>
      </c>
      <c r="H4" s="214" t="s">
        <v>166</v>
      </c>
      <c r="I4" s="135"/>
      <c r="J4" s="135"/>
    </row>
    <row r="5" spans="3:10" ht="16.5" thickBot="1" x14ac:dyDescent="0.3">
      <c r="C5" s="301">
        <f>'Fuel Savings'!F40*100</f>
        <v>3821812.8000000003</v>
      </c>
      <c r="D5" s="139">
        <f t="shared" ref="D5:D34" si="0">C5*0.0000011023</f>
        <v>4.2127842494400003</v>
      </c>
      <c r="E5" s="122">
        <v>2.5</v>
      </c>
      <c r="F5" s="273">
        <v>23300</v>
      </c>
      <c r="G5" s="122">
        <v>2029</v>
      </c>
      <c r="H5" s="274">
        <f>D5*F5</f>
        <v>98157.873011952004</v>
      </c>
      <c r="I5" s="140"/>
      <c r="J5" s="137"/>
    </row>
    <row r="6" spans="3:10" ht="16.5" thickBot="1" x14ac:dyDescent="0.3">
      <c r="C6" s="301">
        <v>3821812.8000000003</v>
      </c>
      <c r="D6" s="139">
        <f t="shared" si="0"/>
        <v>4.2127842494400003</v>
      </c>
      <c r="E6" s="122">
        <v>2.5</v>
      </c>
      <c r="F6" s="273">
        <v>23800</v>
      </c>
      <c r="G6" s="122">
        <f>G5+1</f>
        <v>2030</v>
      </c>
      <c r="H6" s="274">
        <f t="shared" ref="H6:H34" si="1">D6*F6</f>
        <v>100264.26513667201</v>
      </c>
      <c r="I6" s="140"/>
      <c r="J6" s="137"/>
    </row>
    <row r="7" spans="3:10" ht="16.5" thickBot="1" x14ac:dyDescent="0.3">
      <c r="C7" s="301">
        <v>3821812.8000000003</v>
      </c>
      <c r="D7" s="139">
        <f t="shared" si="0"/>
        <v>4.2127842494400003</v>
      </c>
      <c r="E7" s="122">
        <v>2.5</v>
      </c>
      <c r="F7" s="273">
        <v>23800</v>
      </c>
      <c r="G7" s="122">
        <f t="shared" ref="G7:G34" si="2">G6+1</f>
        <v>2031</v>
      </c>
      <c r="H7" s="274">
        <f t="shared" si="1"/>
        <v>100264.26513667201</v>
      </c>
      <c r="I7" s="140"/>
      <c r="J7" s="137"/>
    </row>
    <row r="8" spans="3:10" ht="16.5" thickBot="1" x14ac:dyDescent="0.3">
      <c r="C8" s="301">
        <v>3821812.8000000003</v>
      </c>
      <c r="D8" s="139">
        <f t="shared" si="0"/>
        <v>4.2127842494400003</v>
      </c>
      <c r="E8" s="122">
        <v>2.5</v>
      </c>
      <c r="F8" s="273">
        <v>23800</v>
      </c>
      <c r="G8" s="122">
        <f t="shared" si="2"/>
        <v>2032</v>
      </c>
      <c r="H8" s="274">
        <f t="shared" si="1"/>
        <v>100264.26513667201</v>
      </c>
      <c r="I8" s="140"/>
      <c r="J8" s="137"/>
    </row>
    <row r="9" spans="3:10" ht="16.5" thickBot="1" x14ac:dyDescent="0.3">
      <c r="C9" s="301">
        <v>3821812.8000000003</v>
      </c>
      <c r="D9" s="139">
        <f t="shared" si="0"/>
        <v>4.2127842494400003</v>
      </c>
      <c r="E9" s="122">
        <v>2.5</v>
      </c>
      <c r="F9" s="273">
        <v>23800</v>
      </c>
      <c r="G9" s="122">
        <f t="shared" si="2"/>
        <v>2033</v>
      </c>
      <c r="H9" s="274">
        <f t="shared" si="1"/>
        <v>100264.26513667201</v>
      </c>
      <c r="I9" s="140"/>
      <c r="J9" s="137"/>
    </row>
    <row r="10" spans="3:10" ht="16.5" thickBot="1" x14ac:dyDescent="0.3">
      <c r="C10" s="301">
        <v>3821812.8000000003</v>
      </c>
      <c r="D10" s="139">
        <f t="shared" si="0"/>
        <v>4.2127842494400003</v>
      </c>
      <c r="E10" s="122">
        <v>2.5</v>
      </c>
      <c r="F10" s="273">
        <v>23800</v>
      </c>
      <c r="G10" s="122">
        <f t="shared" si="2"/>
        <v>2034</v>
      </c>
      <c r="H10" s="274">
        <f t="shared" si="1"/>
        <v>100264.26513667201</v>
      </c>
      <c r="I10" s="140"/>
      <c r="J10" s="137"/>
    </row>
    <row r="11" spans="3:10" ht="16.5" thickBot="1" x14ac:dyDescent="0.3">
      <c r="C11" s="301">
        <v>3821812.8000000003</v>
      </c>
      <c r="D11" s="139">
        <f t="shared" si="0"/>
        <v>4.2127842494400003</v>
      </c>
      <c r="E11" s="122">
        <v>2.5</v>
      </c>
      <c r="F11" s="273">
        <v>23800</v>
      </c>
      <c r="G11" s="122">
        <f t="shared" si="2"/>
        <v>2035</v>
      </c>
      <c r="H11" s="274">
        <f t="shared" si="1"/>
        <v>100264.26513667201</v>
      </c>
      <c r="I11" s="140"/>
      <c r="J11" s="137"/>
    </row>
    <row r="12" spans="3:10" ht="16.5" thickBot="1" x14ac:dyDescent="0.3">
      <c r="C12" s="301">
        <v>3821812.8000000003</v>
      </c>
      <c r="D12" s="139">
        <f t="shared" si="0"/>
        <v>4.2127842494400003</v>
      </c>
      <c r="E12" s="122">
        <v>2.5</v>
      </c>
      <c r="F12" s="273">
        <v>23800</v>
      </c>
      <c r="G12" s="122">
        <f t="shared" si="2"/>
        <v>2036</v>
      </c>
      <c r="H12" s="274">
        <f t="shared" si="1"/>
        <v>100264.26513667201</v>
      </c>
      <c r="I12" s="140"/>
      <c r="J12" s="137"/>
    </row>
    <row r="13" spans="3:10" ht="16.5" thickBot="1" x14ac:dyDescent="0.3">
      <c r="C13" s="301">
        <v>3821812.8000000003</v>
      </c>
      <c r="D13" s="139">
        <f t="shared" si="0"/>
        <v>4.2127842494400003</v>
      </c>
      <c r="E13" s="122">
        <v>2.5</v>
      </c>
      <c r="F13" s="273">
        <v>23800</v>
      </c>
      <c r="G13" s="122">
        <f t="shared" si="2"/>
        <v>2037</v>
      </c>
      <c r="H13" s="274">
        <f t="shared" si="1"/>
        <v>100264.26513667201</v>
      </c>
      <c r="I13" s="140"/>
      <c r="J13" s="137"/>
    </row>
    <row r="14" spans="3:10" ht="16.5" thickBot="1" x14ac:dyDescent="0.3">
      <c r="C14" s="301">
        <v>3821812.8000000003</v>
      </c>
      <c r="D14" s="139">
        <f t="shared" si="0"/>
        <v>4.2127842494400003</v>
      </c>
      <c r="E14" s="122">
        <v>2.5</v>
      </c>
      <c r="F14" s="273">
        <v>23800</v>
      </c>
      <c r="G14" s="122">
        <f t="shared" si="2"/>
        <v>2038</v>
      </c>
      <c r="H14" s="274">
        <f t="shared" si="1"/>
        <v>100264.26513667201</v>
      </c>
      <c r="I14" s="140"/>
      <c r="J14" s="137"/>
    </row>
    <row r="15" spans="3:10" ht="16.5" thickBot="1" x14ac:dyDescent="0.3">
      <c r="C15" s="301">
        <v>3821812.8000000003</v>
      </c>
      <c r="D15" s="139">
        <f t="shared" si="0"/>
        <v>4.2127842494400003</v>
      </c>
      <c r="E15" s="122">
        <v>2.5</v>
      </c>
      <c r="F15" s="273">
        <v>23800</v>
      </c>
      <c r="G15" s="122">
        <f t="shared" si="2"/>
        <v>2039</v>
      </c>
      <c r="H15" s="274">
        <f t="shared" si="1"/>
        <v>100264.26513667201</v>
      </c>
      <c r="I15" s="140"/>
      <c r="J15" s="137"/>
    </row>
    <row r="16" spans="3:10" ht="16.5" thickBot="1" x14ac:dyDescent="0.3">
      <c r="C16" s="301">
        <v>3821812.8000000003</v>
      </c>
      <c r="D16" s="139">
        <f t="shared" si="0"/>
        <v>4.2127842494400003</v>
      </c>
      <c r="E16" s="122">
        <v>2.5</v>
      </c>
      <c r="F16" s="273">
        <v>23800</v>
      </c>
      <c r="G16" s="122">
        <f t="shared" si="2"/>
        <v>2040</v>
      </c>
      <c r="H16" s="274">
        <f t="shared" si="1"/>
        <v>100264.26513667201</v>
      </c>
      <c r="I16" s="140"/>
      <c r="J16" s="137"/>
    </row>
    <row r="17" spans="3:10" ht="16.5" thickBot="1" x14ac:dyDescent="0.3">
      <c r="C17" s="301">
        <v>3821812.8000000003</v>
      </c>
      <c r="D17" s="139">
        <f t="shared" si="0"/>
        <v>4.2127842494400003</v>
      </c>
      <c r="E17" s="122">
        <v>2.5</v>
      </c>
      <c r="F17" s="273">
        <v>23800</v>
      </c>
      <c r="G17" s="122">
        <f t="shared" si="2"/>
        <v>2041</v>
      </c>
      <c r="H17" s="274">
        <f t="shared" si="1"/>
        <v>100264.26513667201</v>
      </c>
      <c r="I17" s="140"/>
      <c r="J17" s="137"/>
    </row>
    <row r="18" spans="3:10" ht="16.5" thickBot="1" x14ac:dyDescent="0.3">
      <c r="C18" s="301">
        <v>3821812.8000000003</v>
      </c>
      <c r="D18" s="139">
        <f t="shared" si="0"/>
        <v>4.2127842494400003</v>
      </c>
      <c r="E18" s="122">
        <v>2.5</v>
      </c>
      <c r="F18" s="273">
        <v>23800</v>
      </c>
      <c r="G18" s="122">
        <f t="shared" si="2"/>
        <v>2042</v>
      </c>
      <c r="H18" s="274">
        <f t="shared" si="1"/>
        <v>100264.26513667201</v>
      </c>
      <c r="I18" s="140"/>
      <c r="J18" s="137"/>
    </row>
    <row r="19" spans="3:10" ht="16.5" thickBot="1" x14ac:dyDescent="0.3">
      <c r="C19" s="301">
        <v>3821812.8000000003</v>
      </c>
      <c r="D19" s="139">
        <f t="shared" si="0"/>
        <v>4.2127842494400003</v>
      </c>
      <c r="E19" s="122">
        <v>2.5</v>
      </c>
      <c r="F19" s="273">
        <v>23800</v>
      </c>
      <c r="G19" s="122">
        <f t="shared" si="2"/>
        <v>2043</v>
      </c>
      <c r="H19" s="274">
        <f t="shared" si="1"/>
        <v>100264.26513667201</v>
      </c>
      <c r="I19" s="140"/>
      <c r="J19" s="137"/>
    </row>
    <row r="20" spans="3:10" ht="16.5" thickBot="1" x14ac:dyDescent="0.3">
      <c r="C20" s="301">
        <v>3821812.8000000003</v>
      </c>
      <c r="D20" s="139">
        <f t="shared" si="0"/>
        <v>4.2127842494400003</v>
      </c>
      <c r="E20" s="122">
        <v>2.5</v>
      </c>
      <c r="F20" s="273">
        <v>23800</v>
      </c>
      <c r="G20" s="122">
        <f t="shared" si="2"/>
        <v>2044</v>
      </c>
      <c r="H20" s="274">
        <f t="shared" si="1"/>
        <v>100264.26513667201</v>
      </c>
      <c r="I20" s="140"/>
      <c r="J20" s="137"/>
    </row>
    <row r="21" spans="3:10" ht="16.5" thickBot="1" x14ac:dyDescent="0.3">
      <c r="C21" s="301">
        <v>3821812.8000000003</v>
      </c>
      <c r="D21" s="139">
        <f t="shared" si="0"/>
        <v>4.2127842494400003</v>
      </c>
      <c r="E21" s="122">
        <v>2.5</v>
      </c>
      <c r="F21" s="273">
        <v>23800</v>
      </c>
      <c r="G21" s="122">
        <f t="shared" si="2"/>
        <v>2045</v>
      </c>
      <c r="H21" s="274">
        <f t="shared" si="1"/>
        <v>100264.26513667201</v>
      </c>
      <c r="I21" s="140"/>
      <c r="J21" s="137"/>
    </row>
    <row r="22" spans="3:10" ht="16.5" thickBot="1" x14ac:dyDescent="0.3">
      <c r="C22" s="301">
        <v>3821812.8000000003</v>
      </c>
      <c r="D22" s="141">
        <f t="shared" si="0"/>
        <v>4.2127842494400003</v>
      </c>
      <c r="E22" s="122">
        <v>2.5</v>
      </c>
      <c r="F22" s="273">
        <v>23800</v>
      </c>
      <c r="G22" s="122">
        <f t="shared" si="2"/>
        <v>2046</v>
      </c>
      <c r="H22" s="274">
        <f t="shared" si="1"/>
        <v>100264.26513667201</v>
      </c>
      <c r="I22" s="140"/>
      <c r="J22" s="137"/>
    </row>
    <row r="23" spans="3:10" ht="16.5" thickBot="1" x14ac:dyDescent="0.3">
      <c r="C23" s="301">
        <v>3821812.8000000003</v>
      </c>
      <c r="D23" s="142">
        <f t="shared" si="0"/>
        <v>4.2127842494400003</v>
      </c>
      <c r="E23" s="122">
        <v>2.5</v>
      </c>
      <c r="F23" s="273">
        <v>23800</v>
      </c>
      <c r="G23" s="122">
        <f t="shared" si="2"/>
        <v>2047</v>
      </c>
      <c r="H23" s="274">
        <f t="shared" si="1"/>
        <v>100264.26513667201</v>
      </c>
      <c r="I23" s="140"/>
      <c r="J23" s="137"/>
    </row>
    <row r="24" spans="3:10" ht="16.5" thickBot="1" x14ac:dyDescent="0.3">
      <c r="C24" s="301">
        <v>3821812.8000000003</v>
      </c>
      <c r="D24" s="139">
        <f t="shared" si="0"/>
        <v>4.2127842494400003</v>
      </c>
      <c r="E24" s="122">
        <v>2.5</v>
      </c>
      <c r="F24" s="273">
        <v>23800</v>
      </c>
      <c r="G24" s="122">
        <f t="shared" si="2"/>
        <v>2048</v>
      </c>
      <c r="H24" s="274">
        <f t="shared" si="1"/>
        <v>100264.26513667201</v>
      </c>
      <c r="I24" s="140"/>
      <c r="J24" s="137"/>
    </row>
    <row r="25" spans="3:10" ht="16.5" thickBot="1" x14ac:dyDescent="0.3">
      <c r="C25" s="301">
        <v>3821812.8000000003</v>
      </c>
      <c r="D25" s="139">
        <f t="shared" si="0"/>
        <v>4.2127842494400003</v>
      </c>
      <c r="E25" s="122">
        <v>2.5</v>
      </c>
      <c r="F25" s="273">
        <v>23800</v>
      </c>
      <c r="G25" s="122">
        <f t="shared" si="2"/>
        <v>2049</v>
      </c>
      <c r="H25" s="274">
        <f t="shared" si="1"/>
        <v>100264.26513667201</v>
      </c>
      <c r="I25" s="140"/>
      <c r="J25" s="137"/>
    </row>
    <row r="26" spans="3:10" ht="16.5" thickBot="1" x14ac:dyDescent="0.3">
      <c r="C26" s="301">
        <v>3821812.8000000003</v>
      </c>
      <c r="D26" s="139">
        <f t="shared" si="0"/>
        <v>4.2127842494400003</v>
      </c>
      <c r="E26" s="122">
        <v>2.5</v>
      </c>
      <c r="F26" s="273">
        <v>23800</v>
      </c>
      <c r="G26" s="122">
        <f t="shared" si="2"/>
        <v>2050</v>
      </c>
      <c r="H26" s="274">
        <f t="shared" si="1"/>
        <v>100264.26513667201</v>
      </c>
      <c r="I26" s="140"/>
      <c r="J26" s="137"/>
    </row>
    <row r="27" spans="3:10" ht="16.5" thickBot="1" x14ac:dyDescent="0.3">
      <c r="C27" s="301">
        <v>3821812.8000000003</v>
      </c>
      <c r="D27" s="139">
        <f t="shared" si="0"/>
        <v>4.2127842494400003</v>
      </c>
      <c r="E27" s="122">
        <v>2.5</v>
      </c>
      <c r="F27" s="273">
        <v>23800</v>
      </c>
      <c r="G27" s="122">
        <f t="shared" si="2"/>
        <v>2051</v>
      </c>
      <c r="H27" s="274">
        <f t="shared" si="1"/>
        <v>100264.26513667201</v>
      </c>
      <c r="I27" s="140"/>
      <c r="J27" s="137"/>
    </row>
    <row r="28" spans="3:10" ht="16.5" thickBot="1" x14ac:dyDescent="0.3">
      <c r="C28" s="301">
        <v>3821812.8000000003</v>
      </c>
      <c r="D28" s="139">
        <f t="shared" si="0"/>
        <v>4.2127842494400003</v>
      </c>
      <c r="E28" s="122">
        <v>2.5</v>
      </c>
      <c r="F28" s="273">
        <v>23800</v>
      </c>
      <c r="G28" s="122">
        <f t="shared" si="2"/>
        <v>2052</v>
      </c>
      <c r="H28" s="274">
        <f t="shared" si="1"/>
        <v>100264.26513667201</v>
      </c>
      <c r="I28" s="140"/>
      <c r="J28" s="137"/>
    </row>
    <row r="29" spans="3:10" ht="16.5" thickBot="1" x14ac:dyDescent="0.3">
      <c r="C29" s="301">
        <v>3821812.8000000003</v>
      </c>
      <c r="D29" s="139">
        <f t="shared" si="0"/>
        <v>4.2127842494400003</v>
      </c>
      <c r="E29" s="122">
        <v>2.5</v>
      </c>
      <c r="F29" s="273">
        <v>23800</v>
      </c>
      <c r="G29" s="122">
        <f t="shared" si="2"/>
        <v>2053</v>
      </c>
      <c r="H29" s="274">
        <f t="shared" si="1"/>
        <v>100264.26513667201</v>
      </c>
      <c r="I29" s="140"/>
      <c r="J29" s="137"/>
    </row>
    <row r="30" spans="3:10" ht="16.5" thickBot="1" x14ac:dyDescent="0.3">
      <c r="C30" s="301">
        <v>3821812.8000000003</v>
      </c>
      <c r="D30" s="139">
        <f t="shared" si="0"/>
        <v>4.2127842494400003</v>
      </c>
      <c r="E30" s="122">
        <v>2.5</v>
      </c>
      <c r="F30" s="273">
        <v>23800</v>
      </c>
      <c r="G30" s="122">
        <f t="shared" si="2"/>
        <v>2054</v>
      </c>
      <c r="H30" s="274">
        <f t="shared" si="1"/>
        <v>100264.26513667201</v>
      </c>
      <c r="I30" s="140"/>
      <c r="J30" s="137"/>
    </row>
    <row r="31" spans="3:10" ht="16.5" thickBot="1" x14ac:dyDescent="0.3">
      <c r="C31" s="301">
        <v>3821812.8000000003</v>
      </c>
      <c r="D31" s="139">
        <f t="shared" si="0"/>
        <v>4.2127842494400003</v>
      </c>
      <c r="E31" s="122">
        <v>2.5</v>
      </c>
      <c r="F31" s="273">
        <v>23800</v>
      </c>
      <c r="G31" s="122">
        <f t="shared" si="2"/>
        <v>2055</v>
      </c>
      <c r="H31" s="274">
        <f t="shared" si="1"/>
        <v>100264.26513667201</v>
      </c>
      <c r="I31" s="140"/>
      <c r="J31" s="137"/>
    </row>
    <row r="32" spans="3:10" ht="16.5" thickBot="1" x14ac:dyDescent="0.3">
      <c r="C32" s="301">
        <v>3821812.8000000003</v>
      </c>
      <c r="D32" s="139">
        <f t="shared" si="0"/>
        <v>4.2127842494400003</v>
      </c>
      <c r="E32" s="122">
        <v>2.5</v>
      </c>
      <c r="F32" s="273">
        <v>23800</v>
      </c>
      <c r="G32" s="122">
        <f t="shared" si="2"/>
        <v>2056</v>
      </c>
      <c r="H32" s="274">
        <f t="shared" si="1"/>
        <v>100264.26513667201</v>
      </c>
      <c r="I32" s="140"/>
      <c r="J32" s="137"/>
    </row>
    <row r="33" spans="3:10" ht="16.5" thickBot="1" x14ac:dyDescent="0.3">
      <c r="C33" s="301">
        <v>3821812.8000000003</v>
      </c>
      <c r="D33" s="139">
        <f t="shared" si="0"/>
        <v>4.2127842494400003</v>
      </c>
      <c r="E33" s="122">
        <v>2.5</v>
      </c>
      <c r="F33" s="273">
        <v>23800</v>
      </c>
      <c r="G33" s="122">
        <f t="shared" si="2"/>
        <v>2057</v>
      </c>
      <c r="H33" s="274">
        <f t="shared" si="1"/>
        <v>100264.26513667201</v>
      </c>
      <c r="I33" s="140"/>
      <c r="J33" s="137"/>
    </row>
    <row r="34" spans="3:10" ht="16.5" thickBot="1" x14ac:dyDescent="0.3">
      <c r="C34" s="301">
        <v>3821812.8000000003</v>
      </c>
      <c r="D34" s="139">
        <f t="shared" si="0"/>
        <v>4.2127842494400003</v>
      </c>
      <c r="E34" s="122">
        <v>2.5</v>
      </c>
      <c r="F34" s="273">
        <v>23800</v>
      </c>
      <c r="G34" s="122">
        <f t="shared" si="2"/>
        <v>2058</v>
      </c>
      <c r="H34" s="274">
        <f t="shared" si="1"/>
        <v>100264.26513667201</v>
      </c>
      <c r="I34" s="140"/>
      <c r="J34" s="137"/>
    </row>
    <row r="35" spans="3:10" ht="16.5" thickBot="1" x14ac:dyDescent="0.3">
      <c r="C35" s="178">
        <f>SUM(C5:C34)</f>
        <v>114654383.99999994</v>
      </c>
      <c r="D35" s="179">
        <f>SUM(D5:D34)</f>
        <v>126.38352748320007</v>
      </c>
      <c r="E35" s="132">
        <v>2.5</v>
      </c>
      <c r="F35" s="132" t="s">
        <v>103</v>
      </c>
      <c r="G35" s="132" t="s">
        <v>103</v>
      </c>
      <c r="H35" s="261">
        <f>SUM(H5:H34)</f>
        <v>3005821.5619754409</v>
      </c>
      <c r="I35" s="143"/>
      <c r="J35" s="138"/>
    </row>
    <row r="37" spans="3:10" x14ac:dyDescent="0.25">
      <c r="C37" s="358" t="s">
        <v>159</v>
      </c>
      <c r="D37" s="359"/>
      <c r="E37" s="359"/>
    </row>
    <row r="38" spans="3:10" ht="63.6" customHeight="1" x14ac:dyDescent="0.25">
      <c r="C38" s="359"/>
      <c r="D38" s="359"/>
      <c r="E38" s="359"/>
    </row>
    <row r="39" spans="3:10" ht="15.75" x14ac:dyDescent="0.25">
      <c r="C39" s="231" t="s">
        <v>150</v>
      </c>
      <c r="D39" s="230"/>
      <c r="E39" s="230"/>
      <c r="F39" s="92"/>
    </row>
    <row r="40" spans="3:10" ht="15.75" x14ac:dyDescent="0.25">
      <c r="C40" s="144"/>
      <c r="D40" s="144"/>
      <c r="E40" s="144"/>
    </row>
    <row r="42" spans="3:10" x14ac:dyDescent="0.25">
      <c r="C42" s="160">
        <v>395</v>
      </c>
    </row>
    <row r="43" spans="3:10" x14ac:dyDescent="0.25">
      <c r="C43" s="160">
        <v>560</v>
      </c>
    </row>
    <row r="44" spans="3:10" x14ac:dyDescent="0.25">
      <c r="C44" s="160">
        <v>726</v>
      </c>
    </row>
    <row r="45" spans="3:10" x14ac:dyDescent="0.25">
      <c r="C45" s="160">
        <v>891</v>
      </c>
    </row>
    <row r="46" spans="3:10" x14ac:dyDescent="0.25">
      <c r="C46" s="160">
        <v>1057</v>
      </c>
    </row>
    <row r="47" spans="3:10" x14ac:dyDescent="0.25">
      <c r="C47" s="160">
        <v>1222</v>
      </c>
    </row>
    <row r="48" spans="3:10" x14ac:dyDescent="0.25">
      <c r="C48" s="160">
        <v>1389</v>
      </c>
    </row>
    <row r="49" spans="3:3" x14ac:dyDescent="0.25">
      <c r="C49" s="160">
        <v>1553</v>
      </c>
    </row>
    <row r="50" spans="3:3" x14ac:dyDescent="0.25">
      <c r="C50" s="160">
        <v>1720</v>
      </c>
    </row>
    <row r="51" spans="3:3" x14ac:dyDescent="0.25">
      <c r="C51" s="160">
        <v>1884</v>
      </c>
    </row>
    <row r="52" spans="3:3" x14ac:dyDescent="0.25">
      <c r="C52" s="160">
        <v>2051</v>
      </c>
    </row>
    <row r="53" spans="3:3" x14ac:dyDescent="0.25">
      <c r="C53" s="160">
        <v>2216</v>
      </c>
    </row>
    <row r="54" spans="3:3" x14ac:dyDescent="0.25">
      <c r="C54" s="160">
        <v>2382</v>
      </c>
    </row>
    <row r="55" spans="3:3" x14ac:dyDescent="0.25">
      <c r="C55" s="160">
        <v>2547</v>
      </c>
    </row>
    <row r="56" spans="3:3" x14ac:dyDescent="0.25">
      <c r="C56" s="160">
        <v>2713</v>
      </c>
    </row>
    <row r="57" spans="3:3" x14ac:dyDescent="0.25">
      <c r="C57" s="160">
        <v>2877</v>
      </c>
    </row>
    <row r="58" spans="3:3" x14ac:dyDescent="0.25">
      <c r="C58" s="160">
        <v>3042</v>
      </c>
    </row>
    <row r="59" spans="3:3" x14ac:dyDescent="0.25">
      <c r="C59" s="160">
        <v>3208</v>
      </c>
    </row>
    <row r="60" spans="3:3" x14ac:dyDescent="0.25">
      <c r="C60" s="160">
        <v>3373</v>
      </c>
    </row>
    <row r="61" spans="3:3" x14ac:dyDescent="0.25">
      <c r="C61" s="160">
        <v>3539</v>
      </c>
    </row>
    <row r="62" spans="3:3" x14ac:dyDescent="0.25">
      <c r="C62" s="160">
        <v>3704</v>
      </c>
    </row>
    <row r="63" spans="3:3" x14ac:dyDescent="0.25">
      <c r="C63" s="160">
        <v>3871</v>
      </c>
    </row>
    <row r="64" spans="3:3" x14ac:dyDescent="0.25">
      <c r="C64" s="160">
        <v>4035</v>
      </c>
    </row>
    <row r="65" spans="3:3" x14ac:dyDescent="0.25">
      <c r="C65" s="160">
        <v>4202</v>
      </c>
    </row>
    <row r="66" spans="3:3" x14ac:dyDescent="0.25">
      <c r="C66" s="160">
        <v>4366</v>
      </c>
    </row>
    <row r="67" spans="3:3" x14ac:dyDescent="0.25">
      <c r="C67" s="160">
        <v>4533</v>
      </c>
    </row>
    <row r="68" spans="3:3" x14ac:dyDescent="0.25">
      <c r="C68" s="160">
        <v>4698</v>
      </c>
    </row>
    <row r="69" spans="3:3" x14ac:dyDescent="0.25">
      <c r="C69" s="160">
        <v>4864</v>
      </c>
    </row>
    <row r="70" spans="3:3" x14ac:dyDescent="0.25">
      <c r="C70" s="160">
        <v>5029</v>
      </c>
    </row>
    <row r="71" spans="3:3" x14ac:dyDescent="0.25">
      <c r="C71" s="160">
        <v>5195</v>
      </c>
    </row>
    <row r="72" spans="3:3" x14ac:dyDescent="0.25">
      <c r="C72" s="160">
        <v>83842</v>
      </c>
    </row>
    <row r="73" spans="3:3" x14ac:dyDescent="0.25">
      <c r="C73" s="160"/>
    </row>
  </sheetData>
  <mergeCells count="1">
    <mergeCell ref="C37:E38"/>
  </mergeCells>
  <pageMargins left="0.7" right="0.7" top="0.75" bottom="0.75" header="0.3" footer="0.3"/>
  <pageSetup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9F5B-8F4F-4DC3-A284-29C43A8228BE}">
  <dimension ref="C2:K55"/>
  <sheetViews>
    <sheetView workbookViewId="0">
      <selection activeCell="M20" sqref="M20"/>
    </sheetView>
  </sheetViews>
  <sheetFormatPr defaultRowHeight="15" x14ac:dyDescent="0.25"/>
  <cols>
    <col min="3" max="3" width="13.140625" customWidth="1"/>
    <col min="4" max="4" width="0" hidden="1" customWidth="1"/>
    <col min="5" max="5" width="14.28515625" customWidth="1"/>
    <col min="6" max="6" width="9" customWidth="1"/>
    <col min="7" max="7" width="18.140625" customWidth="1"/>
    <col min="8" max="8" width="13.140625" customWidth="1"/>
    <col min="9" max="9" width="14.85546875" customWidth="1"/>
  </cols>
  <sheetData>
    <row r="2" spans="3:9" ht="15.75" thickBot="1" x14ac:dyDescent="0.3"/>
    <row r="3" spans="3:9" ht="21.75" thickBot="1" x14ac:dyDescent="0.4">
      <c r="C3" s="223" t="s">
        <v>129</v>
      </c>
      <c r="D3" s="192"/>
      <c r="E3" s="224"/>
    </row>
    <row r="4" spans="3:9" ht="100.5" customHeight="1" thickBot="1" x14ac:dyDescent="0.3">
      <c r="C4" s="220" t="s">
        <v>180</v>
      </c>
      <c r="D4" s="221" t="s">
        <v>106</v>
      </c>
      <c r="E4" s="221" t="s">
        <v>181</v>
      </c>
      <c r="F4" s="221" t="s">
        <v>0</v>
      </c>
      <c r="G4" s="214" t="s">
        <v>165</v>
      </c>
      <c r="H4" s="135"/>
      <c r="I4" s="135"/>
    </row>
    <row r="5" spans="3:9" ht="16.5" thickBot="1" x14ac:dyDescent="0.3">
      <c r="C5" s="302">
        <f>(416*365)*1.5*(0.1678)</f>
        <v>38218.128000000004</v>
      </c>
      <c r="D5" s="122">
        <v>2.5</v>
      </c>
      <c r="E5" s="123">
        <f>Assumptions!B32*(1+0.0138)^4</f>
        <v>3.5736428368828967</v>
      </c>
      <c r="F5" s="122">
        <v>2029</v>
      </c>
      <c r="G5" s="136">
        <f>C5*E5</f>
        <v>136577.9393662737</v>
      </c>
      <c r="H5" s="137"/>
      <c r="I5" s="137"/>
    </row>
    <row r="6" spans="3:9" ht="16.5" thickBot="1" x14ac:dyDescent="0.3">
      <c r="C6" s="302">
        <f t="shared" ref="C6:C34" si="0">(416*365)*1.5*(0.1678)</f>
        <v>38218.128000000004</v>
      </c>
      <c r="D6" s="122">
        <v>2.5</v>
      </c>
      <c r="E6" s="123">
        <f>(E5*0.0138)+E5</f>
        <v>3.6229591080318806</v>
      </c>
      <c r="F6" s="122">
        <f>F5+1</f>
        <v>2030</v>
      </c>
      <c r="G6" s="136">
        <f t="shared" ref="G6:G34" si="1">C6*E6</f>
        <v>138462.71492952824</v>
      </c>
      <c r="H6" s="137"/>
      <c r="I6" s="137"/>
    </row>
    <row r="7" spans="3:9" ht="16.5" thickBot="1" x14ac:dyDescent="0.3">
      <c r="C7" s="302">
        <f t="shared" si="0"/>
        <v>38218.128000000004</v>
      </c>
      <c r="D7" s="122">
        <v>2.5</v>
      </c>
      <c r="E7" s="123">
        <f t="shared" ref="E7:E32" si="2">(E6*0.0138)+E6</f>
        <v>3.6729559437227204</v>
      </c>
      <c r="F7" s="122">
        <f t="shared" ref="F7:F32" si="3">F6+1</f>
        <v>2031</v>
      </c>
      <c r="G7" s="136">
        <f t="shared" si="1"/>
        <v>140373.50039555575</v>
      </c>
      <c r="H7" s="137"/>
      <c r="I7" s="137"/>
    </row>
    <row r="8" spans="3:9" ht="16.5" thickBot="1" x14ac:dyDescent="0.3">
      <c r="C8" s="302">
        <f t="shared" si="0"/>
        <v>38218.128000000004</v>
      </c>
      <c r="D8" s="122">
        <v>2.5</v>
      </c>
      <c r="E8" s="123">
        <f t="shared" si="2"/>
        <v>3.7236427357460937</v>
      </c>
      <c r="F8" s="122">
        <f t="shared" si="3"/>
        <v>2032</v>
      </c>
      <c r="G8" s="136">
        <f t="shared" si="1"/>
        <v>142310.6547010144</v>
      </c>
      <c r="H8" s="137"/>
      <c r="I8" s="137"/>
    </row>
    <row r="9" spans="3:9" ht="16.5" thickBot="1" x14ac:dyDescent="0.3">
      <c r="C9" s="302">
        <f t="shared" si="0"/>
        <v>38218.128000000004</v>
      </c>
      <c r="D9" s="122">
        <v>2.5</v>
      </c>
      <c r="E9" s="123">
        <f t="shared" si="2"/>
        <v>3.7750290054993898</v>
      </c>
      <c r="F9" s="122">
        <f t="shared" si="3"/>
        <v>2033</v>
      </c>
      <c r="G9" s="136">
        <f t="shared" si="1"/>
        <v>144274.5417358884</v>
      </c>
      <c r="H9" s="137"/>
      <c r="I9" s="137"/>
    </row>
    <row r="10" spans="3:9" ht="16.5" thickBot="1" x14ac:dyDescent="0.3">
      <c r="C10" s="302">
        <f t="shared" si="0"/>
        <v>38218.128000000004</v>
      </c>
      <c r="D10" s="122">
        <v>2.5</v>
      </c>
      <c r="E10" s="123">
        <f t="shared" si="2"/>
        <v>3.8271244057752813</v>
      </c>
      <c r="F10" s="122">
        <f t="shared" si="3"/>
        <v>2034</v>
      </c>
      <c r="G10" s="136">
        <f t="shared" si="1"/>
        <v>146265.53041184365</v>
      </c>
      <c r="H10" s="137"/>
      <c r="I10" s="137"/>
    </row>
    <row r="11" spans="3:9" ht="16.5" thickBot="1" x14ac:dyDescent="0.3">
      <c r="C11" s="302">
        <f t="shared" si="0"/>
        <v>38218.128000000004</v>
      </c>
      <c r="D11" s="122">
        <v>2.5</v>
      </c>
      <c r="E11" s="123">
        <f t="shared" si="2"/>
        <v>3.8799387225749804</v>
      </c>
      <c r="F11" s="122">
        <f t="shared" si="3"/>
        <v>2035</v>
      </c>
      <c r="G11" s="136">
        <f t="shared" si="1"/>
        <v>148283.99473152711</v>
      </c>
      <c r="H11" s="137"/>
      <c r="I11" s="137"/>
    </row>
    <row r="12" spans="3:9" ht="19.149999999999999" customHeight="1" thickBot="1" x14ac:dyDescent="0.3">
      <c r="C12" s="302">
        <f t="shared" si="0"/>
        <v>38218.128000000004</v>
      </c>
      <c r="D12" s="122">
        <v>2.5</v>
      </c>
      <c r="E12" s="123">
        <f t="shared" si="2"/>
        <v>3.933481876946515</v>
      </c>
      <c r="F12" s="122">
        <f t="shared" si="3"/>
        <v>2036</v>
      </c>
      <c r="G12" s="136">
        <f t="shared" si="1"/>
        <v>150330.31385882216</v>
      </c>
      <c r="H12" s="137"/>
      <c r="I12" s="137"/>
    </row>
    <row r="13" spans="3:9" ht="16.5" thickBot="1" x14ac:dyDescent="0.3">
      <c r="C13" s="302">
        <f t="shared" si="0"/>
        <v>38218.128000000004</v>
      </c>
      <c r="D13" s="122">
        <v>2.5</v>
      </c>
      <c r="E13" s="123">
        <f t="shared" si="2"/>
        <v>3.9877639268483769</v>
      </c>
      <c r="F13" s="122">
        <f t="shared" si="3"/>
        <v>2037</v>
      </c>
      <c r="G13" s="136">
        <f t="shared" si="1"/>
        <v>152404.87219007392</v>
      </c>
      <c r="H13" s="137"/>
      <c r="I13" s="137"/>
    </row>
    <row r="14" spans="3:9" ht="19.899999999999999" customHeight="1" thickBot="1" x14ac:dyDescent="0.3">
      <c r="C14" s="302">
        <f t="shared" si="0"/>
        <v>38218.128000000004</v>
      </c>
      <c r="D14" s="122">
        <v>2.5</v>
      </c>
      <c r="E14" s="123">
        <f t="shared" si="2"/>
        <v>4.0427950690388847</v>
      </c>
      <c r="F14" s="122">
        <f t="shared" si="3"/>
        <v>2038</v>
      </c>
      <c r="G14" s="136">
        <f t="shared" si="1"/>
        <v>154508.05942629694</v>
      </c>
      <c r="H14" s="137"/>
      <c r="I14" s="137"/>
    </row>
    <row r="15" spans="3:9" ht="16.5" thickBot="1" x14ac:dyDescent="0.3">
      <c r="C15" s="302">
        <f t="shared" si="0"/>
        <v>38218.128000000004</v>
      </c>
      <c r="D15" s="122">
        <v>2.5</v>
      </c>
      <c r="E15" s="123">
        <f t="shared" si="2"/>
        <v>4.0985856409916215</v>
      </c>
      <c r="F15" s="122">
        <f t="shared" si="3"/>
        <v>2039</v>
      </c>
      <c r="G15" s="136">
        <f t="shared" si="1"/>
        <v>156640.27064637985</v>
      </c>
      <c r="H15" s="137"/>
      <c r="I15" s="137"/>
    </row>
    <row r="16" spans="3:9" ht="15" customHeight="1" thickBot="1" x14ac:dyDescent="0.3">
      <c r="C16" s="302">
        <f t="shared" si="0"/>
        <v>38218.128000000004</v>
      </c>
      <c r="D16" s="122">
        <v>2.5</v>
      </c>
      <c r="E16" s="123">
        <f t="shared" si="2"/>
        <v>4.1551461228373059</v>
      </c>
      <c r="F16" s="122">
        <f t="shared" si="3"/>
        <v>2040</v>
      </c>
      <c r="G16" s="136">
        <f t="shared" si="1"/>
        <v>158801.90638129989</v>
      </c>
      <c r="H16" s="137"/>
      <c r="I16" s="137"/>
    </row>
    <row r="17" spans="3:9" ht="16.5" thickBot="1" x14ac:dyDescent="0.3">
      <c r="C17" s="302">
        <f t="shared" si="0"/>
        <v>38218.128000000004</v>
      </c>
      <c r="D17" s="122">
        <v>2.5</v>
      </c>
      <c r="E17" s="123">
        <f t="shared" si="2"/>
        <v>4.2124871393324606</v>
      </c>
      <c r="F17" s="122">
        <f t="shared" si="3"/>
        <v>2041</v>
      </c>
      <c r="G17" s="136">
        <f t="shared" si="1"/>
        <v>160993.37268936183</v>
      </c>
      <c r="H17" s="137"/>
      <c r="I17" s="137"/>
    </row>
    <row r="18" spans="3:9" ht="16.5" thickBot="1" x14ac:dyDescent="0.3">
      <c r="C18" s="302">
        <f t="shared" si="0"/>
        <v>38218.128000000004</v>
      </c>
      <c r="D18" s="122">
        <v>2.5</v>
      </c>
      <c r="E18" s="123">
        <f t="shared" si="2"/>
        <v>4.2706194618552482</v>
      </c>
      <c r="F18" s="122">
        <f t="shared" si="3"/>
        <v>2042</v>
      </c>
      <c r="G18" s="136">
        <f t="shared" si="1"/>
        <v>163215.081232475</v>
      </c>
      <c r="H18" s="137"/>
      <c r="I18" s="137"/>
    </row>
    <row r="19" spans="3:9" ht="16.5" thickBot="1" x14ac:dyDescent="0.3">
      <c r="C19" s="302">
        <f t="shared" si="0"/>
        <v>38218.128000000004</v>
      </c>
      <c r="D19" s="122">
        <v>2.5</v>
      </c>
      <c r="E19" s="123">
        <f t="shared" si="2"/>
        <v>4.3295540104288506</v>
      </c>
      <c r="F19" s="122">
        <f t="shared" si="3"/>
        <v>2043</v>
      </c>
      <c r="G19" s="136">
        <f t="shared" si="1"/>
        <v>165467.44935348316</v>
      </c>
      <c r="H19" s="137"/>
      <c r="I19" s="137"/>
    </row>
    <row r="20" spans="3:9" ht="16.5" thickBot="1" x14ac:dyDescent="0.3">
      <c r="C20" s="302">
        <f t="shared" si="0"/>
        <v>38218.128000000004</v>
      </c>
      <c r="D20" s="122">
        <v>2.5</v>
      </c>
      <c r="E20" s="123">
        <f t="shared" si="2"/>
        <v>4.3893018557727688</v>
      </c>
      <c r="F20" s="122">
        <f t="shared" si="3"/>
        <v>2044</v>
      </c>
      <c r="G20" s="136">
        <f t="shared" si="1"/>
        <v>167750.90015456124</v>
      </c>
      <c r="H20" s="137"/>
      <c r="I20" s="137"/>
    </row>
    <row r="21" spans="3:9" ht="16.5" thickBot="1" x14ac:dyDescent="0.3">
      <c r="C21" s="302">
        <f t="shared" si="0"/>
        <v>38218.128000000004</v>
      </c>
      <c r="D21" s="122">
        <v>2.5</v>
      </c>
      <c r="E21" s="123">
        <f t="shared" si="2"/>
        <v>4.4498742213824327</v>
      </c>
      <c r="F21" s="122">
        <f t="shared" si="3"/>
        <v>2045</v>
      </c>
      <c r="G21" s="136">
        <f t="shared" si="1"/>
        <v>170065.86257669417</v>
      </c>
      <c r="H21" s="137"/>
      <c r="I21" s="137"/>
    </row>
    <row r="22" spans="3:9" ht="16.5" thickBot="1" x14ac:dyDescent="0.3">
      <c r="C22" s="302">
        <f t="shared" si="0"/>
        <v>38218.128000000004</v>
      </c>
      <c r="D22" s="122">
        <v>2.5</v>
      </c>
      <c r="E22" s="123">
        <f t="shared" si="2"/>
        <v>4.5112824856375102</v>
      </c>
      <c r="F22" s="122">
        <f t="shared" si="3"/>
        <v>2046</v>
      </c>
      <c r="G22" s="136">
        <f t="shared" si="1"/>
        <v>172412.77148025256</v>
      </c>
      <c r="H22" s="137"/>
      <c r="I22" s="137"/>
    </row>
    <row r="23" spans="3:9" ht="16.5" thickBot="1" x14ac:dyDescent="0.3">
      <c r="C23" s="302">
        <f t="shared" si="0"/>
        <v>38218.128000000004</v>
      </c>
      <c r="D23" s="122">
        <v>2.5</v>
      </c>
      <c r="E23" s="123">
        <f t="shared" si="2"/>
        <v>4.5735381839393074</v>
      </c>
      <c r="F23" s="122">
        <f t="shared" si="3"/>
        <v>2047</v>
      </c>
      <c r="G23" s="136">
        <f t="shared" si="1"/>
        <v>174792.06772668002</v>
      </c>
      <c r="H23" s="137"/>
      <c r="I23" s="137"/>
    </row>
    <row r="24" spans="3:9" ht="16.5" thickBot="1" x14ac:dyDescent="0.3">
      <c r="C24" s="302">
        <f t="shared" si="0"/>
        <v>38218.128000000004</v>
      </c>
      <c r="D24" s="122">
        <v>2.5</v>
      </c>
      <c r="E24" s="123">
        <f t="shared" si="2"/>
        <v>4.6366530108776702</v>
      </c>
      <c r="F24" s="122">
        <f t="shared" si="3"/>
        <v>2048</v>
      </c>
      <c r="G24" s="136">
        <f t="shared" si="1"/>
        <v>177204.19826130822</v>
      </c>
      <c r="H24" s="137"/>
      <c r="I24" s="137"/>
    </row>
    <row r="25" spans="3:9" ht="16.5" thickBot="1" x14ac:dyDescent="0.3">
      <c r="C25" s="302">
        <f t="shared" si="0"/>
        <v>38218.128000000004</v>
      </c>
      <c r="D25" s="122">
        <v>2.5</v>
      </c>
      <c r="E25" s="123">
        <f t="shared" si="2"/>
        <v>4.7006388224277824</v>
      </c>
      <c r="F25" s="122">
        <f t="shared" si="3"/>
        <v>2049</v>
      </c>
      <c r="G25" s="136">
        <f t="shared" si="1"/>
        <v>179649.61619731429</v>
      </c>
      <c r="H25" s="137"/>
      <c r="I25" s="137"/>
    </row>
    <row r="26" spans="3:9" ht="16.5" thickBot="1" x14ac:dyDescent="0.3">
      <c r="C26" s="302">
        <f t="shared" si="0"/>
        <v>38218.128000000004</v>
      </c>
      <c r="D26" s="122">
        <v>2.5</v>
      </c>
      <c r="E26" s="123">
        <f t="shared" si="2"/>
        <v>4.7655076381772856</v>
      </c>
      <c r="F26" s="122">
        <f t="shared" si="3"/>
        <v>2050</v>
      </c>
      <c r="G26" s="136">
        <f t="shared" si="1"/>
        <v>182128.78090083721</v>
      </c>
      <c r="H26" s="137"/>
      <c r="I26" s="137"/>
    </row>
    <row r="27" spans="3:9" ht="16.5" thickBot="1" x14ac:dyDescent="0.3">
      <c r="C27" s="302">
        <f t="shared" si="0"/>
        <v>38218.128000000004</v>
      </c>
      <c r="D27" s="122">
        <v>2.5</v>
      </c>
      <c r="E27" s="123">
        <f t="shared" si="2"/>
        <v>4.8312716435841319</v>
      </c>
      <c r="F27" s="122">
        <f t="shared" si="3"/>
        <v>2051</v>
      </c>
      <c r="G27" s="136">
        <f t="shared" si="1"/>
        <v>184642.15807726874</v>
      </c>
      <c r="H27" s="137"/>
      <c r="I27" s="137"/>
    </row>
    <row r="28" spans="3:9" ht="16.5" thickBot="1" x14ac:dyDescent="0.3">
      <c r="C28" s="302">
        <f t="shared" si="0"/>
        <v>38218.128000000004</v>
      </c>
      <c r="D28" s="122">
        <v>2.5</v>
      </c>
      <c r="E28" s="123">
        <f t="shared" si="2"/>
        <v>4.8979431922655925</v>
      </c>
      <c r="F28" s="122">
        <f t="shared" si="3"/>
        <v>2052</v>
      </c>
      <c r="G28" s="136">
        <f t="shared" si="1"/>
        <v>187190.21985873504</v>
      </c>
      <c r="H28" s="137"/>
      <c r="I28" s="137"/>
    </row>
    <row r="29" spans="3:9" ht="16.5" thickBot="1" x14ac:dyDescent="0.3">
      <c r="C29" s="302">
        <f t="shared" si="0"/>
        <v>38218.128000000004</v>
      </c>
      <c r="D29" s="122">
        <v>2.5</v>
      </c>
      <c r="E29" s="123">
        <f t="shared" si="2"/>
        <v>4.965534808318858</v>
      </c>
      <c r="F29" s="122">
        <f t="shared" si="3"/>
        <v>2053</v>
      </c>
      <c r="G29" s="136">
        <f t="shared" si="1"/>
        <v>189773.4448927856</v>
      </c>
      <c r="H29" s="137"/>
      <c r="I29" s="137"/>
    </row>
    <row r="30" spans="3:9" ht="16.5" thickBot="1" x14ac:dyDescent="0.3">
      <c r="C30" s="302">
        <f t="shared" si="0"/>
        <v>38218.128000000004</v>
      </c>
      <c r="D30" s="122">
        <v>2.5</v>
      </c>
      <c r="E30" s="123">
        <f t="shared" si="2"/>
        <v>5.0340591886736581</v>
      </c>
      <c r="F30" s="122">
        <f t="shared" si="3"/>
        <v>2054</v>
      </c>
      <c r="G30" s="136">
        <f t="shared" si="1"/>
        <v>192392.31843230603</v>
      </c>
      <c r="H30" s="137"/>
      <c r="I30" s="137"/>
    </row>
    <row r="31" spans="3:9" ht="16.5" thickBot="1" x14ac:dyDescent="0.3">
      <c r="C31" s="302">
        <f t="shared" si="0"/>
        <v>38218.128000000004</v>
      </c>
      <c r="D31" s="122">
        <v>2.5</v>
      </c>
      <c r="E31" s="123">
        <f t="shared" si="2"/>
        <v>5.1035292054773542</v>
      </c>
      <c r="F31" s="122">
        <f t="shared" si="3"/>
        <v>2055</v>
      </c>
      <c r="G31" s="136">
        <f t="shared" si="1"/>
        <v>195047.33242667184</v>
      </c>
      <c r="H31" s="137"/>
      <c r="I31" s="137"/>
    </row>
    <row r="32" spans="3:9" ht="16.5" thickBot="1" x14ac:dyDescent="0.3">
      <c r="C32" s="302">
        <f t="shared" si="0"/>
        <v>38218.128000000004</v>
      </c>
      <c r="D32" s="122">
        <v>2.5</v>
      </c>
      <c r="E32" s="123">
        <f t="shared" si="2"/>
        <v>5.1739579085129419</v>
      </c>
      <c r="F32" s="122">
        <f t="shared" si="3"/>
        <v>2056</v>
      </c>
      <c r="G32" s="136">
        <f t="shared" si="1"/>
        <v>197738.98561415993</v>
      </c>
      <c r="H32" s="137"/>
      <c r="I32" s="137"/>
    </row>
    <row r="33" spans="3:11" ht="16.5" thickBot="1" x14ac:dyDescent="0.3">
      <c r="C33" s="302">
        <f t="shared" si="0"/>
        <v>38218.128000000004</v>
      </c>
      <c r="D33" s="122">
        <v>2.5</v>
      </c>
      <c r="E33" s="123">
        <f>(E32*0.0138)+E32</f>
        <v>5.2453585276504207</v>
      </c>
      <c r="F33" s="122">
        <f>F32+1</f>
        <v>2057</v>
      </c>
      <c r="G33" s="136">
        <f t="shared" si="1"/>
        <v>200467.78361563533</v>
      </c>
      <c r="H33" s="137"/>
      <c r="I33" s="137"/>
    </row>
    <row r="34" spans="3:11" ht="16.5" thickBot="1" x14ac:dyDescent="0.3">
      <c r="C34" s="302">
        <f t="shared" si="0"/>
        <v>38218.128000000004</v>
      </c>
      <c r="D34" s="122">
        <v>2.5</v>
      </c>
      <c r="E34" s="123">
        <f>(E33*0.0138)+E33</f>
        <v>5.3177444753319962</v>
      </c>
      <c r="F34" s="122">
        <f>F33+1</f>
        <v>2058</v>
      </c>
      <c r="G34" s="136">
        <f t="shared" si="1"/>
        <v>203234.23902953111</v>
      </c>
      <c r="H34" s="137"/>
      <c r="I34" s="137"/>
    </row>
    <row r="35" spans="3:11" ht="16.5" thickBot="1" x14ac:dyDescent="0.3">
      <c r="C35" s="227">
        <f>SUM(C5:C34)</f>
        <v>1146543.8400000005</v>
      </c>
      <c r="D35" s="132" t="s">
        <v>103</v>
      </c>
      <c r="E35" s="132" t="s">
        <v>103</v>
      </c>
      <c r="F35" s="132" t="s">
        <v>103</v>
      </c>
      <c r="G35" s="228">
        <f>SUM(G5:G34)</f>
        <v>5033400.8812945662</v>
      </c>
      <c r="H35" s="138"/>
      <c r="I35" s="138"/>
    </row>
    <row r="37" spans="3:11" x14ac:dyDescent="0.25">
      <c r="C37" t="s">
        <v>148</v>
      </c>
    </row>
    <row r="38" spans="3:11" x14ac:dyDescent="0.25">
      <c r="C38" s="360" t="s">
        <v>149</v>
      </c>
      <c r="D38" s="360"/>
      <c r="E38" s="360"/>
      <c r="F38" s="360"/>
      <c r="G38" s="360"/>
      <c r="H38" s="360"/>
      <c r="I38" s="360"/>
      <c r="J38" s="360"/>
      <c r="K38" s="360"/>
    </row>
    <row r="40" spans="3:11" x14ac:dyDescent="0.25">
      <c r="C40" s="345" t="s">
        <v>177</v>
      </c>
      <c r="D40" s="349"/>
      <c r="E40" s="349"/>
      <c r="F40" s="278">
        <f>(416*365)*1.5*(0.1678)</f>
        <v>38218.128000000004</v>
      </c>
    </row>
    <row r="41" spans="3:11" x14ac:dyDescent="0.25">
      <c r="C41" s="160"/>
    </row>
    <row r="42" spans="3:11" x14ac:dyDescent="0.25">
      <c r="C42" s="160"/>
    </row>
    <row r="43" spans="3:11" x14ac:dyDescent="0.25">
      <c r="C43" s="160"/>
    </row>
    <row r="44" spans="3:11" x14ac:dyDescent="0.25">
      <c r="C44" s="160"/>
    </row>
    <row r="45" spans="3:11" x14ac:dyDescent="0.25">
      <c r="C45" s="160"/>
    </row>
    <row r="46" spans="3:11" x14ac:dyDescent="0.25">
      <c r="C46" s="160"/>
    </row>
    <row r="47" spans="3:11" x14ac:dyDescent="0.25">
      <c r="C47" s="160"/>
    </row>
    <row r="48" spans="3:11" x14ac:dyDescent="0.25">
      <c r="C48" s="160"/>
    </row>
    <row r="49" spans="3:3" x14ac:dyDescent="0.25">
      <c r="C49" s="160"/>
    </row>
    <row r="50" spans="3:3" x14ac:dyDescent="0.25">
      <c r="C50" s="160"/>
    </row>
    <row r="51" spans="3:3" x14ac:dyDescent="0.25">
      <c r="C51" s="160"/>
    </row>
    <row r="52" spans="3:3" x14ac:dyDescent="0.25">
      <c r="C52" s="160"/>
    </row>
    <row r="53" spans="3:3" x14ac:dyDescent="0.25">
      <c r="C53" s="160"/>
    </row>
    <row r="54" spans="3:3" x14ac:dyDescent="0.25">
      <c r="C54" s="160"/>
    </row>
    <row r="55" spans="3:3" x14ac:dyDescent="0.25">
      <c r="C55" s="160"/>
    </row>
  </sheetData>
  <mergeCells count="2">
    <mergeCell ref="C38:K38"/>
    <mergeCell ref="C40:E4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490F-7A38-4FD0-BD03-93E707A4F15E}">
  <sheetPr>
    <pageSetUpPr fitToPage="1"/>
  </sheetPr>
  <dimension ref="C1:O95"/>
  <sheetViews>
    <sheetView topLeftCell="A8" workbookViewId="0">
      <selection activeCell="N11" sqref="N11"/>
    </sheetView>
  </sheetViews>
  <sheetFormatPr defaultRowHeight="15" x14ac:dyDescent="0.25"/>
  <cols>
    <col min="3" max="3" width="11.140625" hidden="1" customWidth="1"/>
    <col min="4" max="4" width="14.85546875" customWidth="1"/>
    <col min="5" max="5" width="12.140625" hidden="1" customWidth="1"/>
    <col min="6" max="6" width="22.5703125" customWidth="1"/>
    <col min="7" max="7" width="10.7109375" customWidth="1"/>
    <col min="8" max="8" width="18.42578125" customWidth="1"/>
    <col min="9" max="9" width="15.5703125" hidden="1" customWidth="1"/>
    <col min="10" max="10" width="15.85546875" customWidth="1"/>
  </cols>
  <sheetData>
    <row r="1" spans="3:15" ht="15.75" thickBot="1" x14ac:dyDescent="0.3"/>
    <row r="2" spans="3:15" ht="21.75" thickBot="1" x14ac:dyDescent="0.4">
      <c r="C2" s="223" t="s">
        <v>104</v>
      </c>
      <c r="D2" s="350" t="s">
        <v>153</v>
      </c>
      <c r="E2" s="351"/>
      <c r="F2" s="352"/>
    </row>
    <row r="3" spans="3:15" ht="121.5" customHeight="1" thickBot="1" x14ac:dyDescent="0.3">
      <c r="C3" s="220" t="s">
        <v>105</v>
      </c>
      <c r="D3" s="220" t="s">
        <v>184</v>
      </c>
      <c r="E3" s="221" t="s">
        <v>106</v>
      </c>
      <c r="F3" s="221" t="s">
        <v>200</v>
      </c>
      <c r="G3" s="221" t="s">
        <v>0</v>
      </c>
      <c r="H3" s="221" t="s">
        <v>185</v>
      </c>
      <c r="I3" s="222" t="s">
        <v>107</v>
      </c>
      <c r="J3" s="222" t="s">
        <v>146</v>
      </c>
    </row>
    <row r="4" spans="3:15" ht="16.5" thickBot="1" x14ac:dyDescent="0.3">
      <c r="C4" s="276">
        <v>0.86399999999999999</v>
      </c>
      <c r="D4" s="303">
        <f>(10/60)</f>
        <v>0.16666666666666666</v>
      </c>
      <c r="E4" s="122">
        <v>2.5</v>
      </c>
      <c r="F4" s="123">
        <f>Assumptions!B6*(1+0.0138)^4</f>
        <v>36.549820324016622</v>
      </c>
      <c r="G4" s="122">
        <v>2029</v>
      </c>
      <c r="H4" s="124">
        <f>416*365*(1+0.016)^3</f>
        <v>159245.55505664001</v>
      </c>
      <c r="I4" s="125"/>
      <c r="J4" s="126">
        <f>D4*F4*H4</f>
        <v>970066.07078641467</v>
      </c>
      <c r="O4" s="140">
        <f>F4*D4</f>
        <v>6.0916367206694364</v>
      </c>
    </row>
    <row r="5" spans="3:15" ht="16.5" thickBot="1" x14ac:dyDescent="0.3">
      <c r="C5" s="276">
        <f t="shared" ref="C5:C32" si="0">C4+(0.864)</f>
        <v>1.728</v>
      </c>
      <c r="D5" s="303">
        <f t="shared" ref="D5:D33" si="1">(10/60)</f>
        <v>0.16666666666666666</v>
      </c>
      <c r="E5" s="122">
        <v>2.5</v>
      </c>
      <c r="F5" s="123">
        <f>(F4*0.0138)+F4</f>
        <v>37.054207844488054</v>
      </c>
      <c r="G5" s="122">
        <f>(G4+1)</f>
        <v>2030</v>
      </c>
      <c r="H5" s="124">
        <f t="shared" ref="H5:H33" si="2">H4*(1+0.0057)</f>
        <v>160153.25472046286</v>
      </c>
      <c r="I5" s="125"/>
      <c r="J5" s="126">
        <f t="shared" ref="J5:J33" si="3">D5*F5*H5</f>
        <v>989058.66456387797</v>
      </c>
    </row>
    <row r="6" spans="3:15" ht="16.5" thickBot="1" x14ac:dyDescent="0.3">
      <c r="C6" s="276">
        <f t="shared" si="0"/>
        <v>2.5920000000000001</v>
      </c>
      <c r="D6" s="303">
        <f t="shared" si="1"/>
        <v>0.16666666666666666</v>
      </c>
      <c r="E6" s="122">
        <v>2.5</v>
      </c>
      <c r="F6" s="123">
        <f t="shared" ref="F6:F33" si="4">(F5*0.0138)+F5</f>
        <v>37.565555912741992</v>
      </c>
      <c r="G6" s="122">
        <f t="shared" ref="G6:G27" si="5">(G5+1)</f>
        <v>2031</v>
      </c>
      <c r="H6" s="124">
        <f t="shared" si="2"/>
        <v>161066.1282723695</v>
      </c>
      <c r="I6" s="125"/>
      <c r="J6" s="126">
        <f t="shared" si="3"/>
        <v>1008423.1078774283</v>
      </c>
    </row>
    <row r="7" spans="3:15" ht="16.5" thickBot="1" x14ac:dyDescent="0.3">
      <c r="C7" s="276">
        <f t="shared" si="0"/>
        <v>3.456</v>
      </c>
      <c r="D7" s="303">
        <f t="shared" si="1"/>
        <v>0.16666666666666666</v>
      </c>
      <c r="E7" s="122">
        <v>2.5</v>
      </c>
      <c r="F7" s="123">
        <f t="shared" si="4"/>
        <v>38.083960584337831</v>
      </c>
      <c r="G7" s="122">
        <f t="shared" si="5"/>
        <v>2032</v>
      </c>
      <c r="H7" s="124">
        <f t="shared" si="2"/>
        <v>161984.20520352203</v>
      </c>
      <c r="I7" s="127"/>
      <c r="J7" s="126">
        <f t="shared" si="3"/>
        <v>1028166.6810427039</v>
      </c>
    </row>
    <row r="8" spans="3:15" ht="16.5" thickBot="1" x14ac:dyDescent="0.3">
      <c r="C8" s="276">
        <f t="shared" si="0"/>
        <v>4.32</v>
      </c>
      <c r="D8" s="303">
        <f t="shared" si="1"/>
        <v>0.16666666666666666</v>
      </c>
      <c r="E8" s="122">
        <v>2.5</v>
      </c>
      <c r="F8" s="123">
        <f t="shared" si="4"/>
        <v>38.609519240401696</v>
      </c>
      <c r="G8" s="122">
        <f t="shared" si="5"/>
        <v>2033</v>
      </c>
      <c r="H8" s="124">
        <f t="shared" si="2"/>
        <v>162907.5151731821</v>
      </c>
      <c r="I8" s="128"/>
      <c r="J8" s="126">
        <f t="shared" si="3"/>
        <v>1048296.8069141676</v>
      </c>
      <c r="O8">
        <f>(10/60)/24</f>
        <v>6.9444444444444441E-3</v>
      </c>
    </row>
    <row r="9" spans="3:15" ht="16.5" thickBot="1" x14ac:dyDescent="0.3">
      <c r="C9" s="276">
        <f t="shared" si="0"/>
        <v>5.1840000000000002</v>
      </c>
      <c r="D9" s="303">
        <f t="shared" si="1"/>
        <v>0.16666666666666666</v>
      </c>
      <c r="E9" s="122">
        <v>2.5</v>
      </c>
      <c r="F9" s="123">
        <f t="shared" si="4"/>
        <v>39.142330605919241</v>
      </c>
      <c r="G9" s="122">
        <f t="shared" si="5"/>
        <v>2034</v>
      </c>
      <c r="H9" s="124">
        <f t="shared" si="2"/>
        <v>163836.08800966924</v>
      </c>
      <c r="I9" s="125"/>
      <c r="J9" s="126">
        <f t="shared" si="3"/>
        <v>1068821.0536758257</v>
      </c>
    </row>
    <row r="10" spans="3:15" ht="16.5" thickBot="1" x14ac:dyDescent="0.3">
      <c r="C10" s="276">
        <f t="shared" si="0"/>
        <v>6.048</v>
      </c>
      <c r="D10" s="303">
        <f t="shared" si="1"/>
        <v>0.16666666666666666</v>
      </c>
      <c r="E10" s="122">
        <v>2.5</v>
      </c>
      <c r="F10" s="123">
        <f t="shared" si="4"/>
        <v>39.682494768280925</v>
      </c>
      <c r="G10" s="122">
        <f t="shared" si="5"/>
        <v>2035</v>
      </c>
      <c r="H10" s="124">
        <f t="shared" si="2"/>
        <v>164769.95371132437</v>
      </c>
      <c r="I10" s="125"/>
      <c r="J10" s="126">
        <f t="shared" si="3"/>
        <v>1089747.1376865865</v>
      </c>
    </row>
    <row r="11" spans="3:15" ht="16.5" thickBot="1" x14ac:dyDescent="0.3">
      <c r="C11" s="276">
        <f t="shared" si="0"/>
        <v>6.9119999999999999</v>
      </c>
      <c r="D11" s="303">
        <f t="shared" si="1"/>
        <v>0.16666666666666666</v>
      </c>
      <c r="E11" s="122">
        <v>2.5</v>
      </c>
      <c r="F11" s="123">
        <f t="shared" si="4"/>
        <v>40.230113196083202</v>
      </c>
      <c r="G11" s="122">
        <f t="shared" si="5"/>
        <v>2036</v>
      </c>
      <c r="H11" s="124">
        <f t="shared" si="2"/>
        <v>165709.14244747892</v>
      </c>
      <c r="I11" s="127"/>
      <c r="J11" s="126">
        <f t="shared" si="3"/>
        <v>1111082.9263813253</v>
      </c>
    </row>
    <row r="12" spans="3:15" ht="16.5" thickBot="1" x14ac:dyDescent="0.3">
      <c r="C12" s="276">
        <f t="shared" si="0"/>
        <v>7.7759999999999998</v>
      </c>
      <c r="D12" s="303">
        <f t="shared" si="1"/>
        <v>0.16666666666666666</v>
      </c>
      <c r="E12" s="122">
        <v>2.5</v>
      </c>
      <c r="F12" s="123">
        <f t="shared" si="4"/>
        <v>40.785288758189154</v>
      </c>
      <c r="G12" s="122">
        <f t="shared" si="5"/>
        <v>2037</v>
      </c>
      <c r="H12" s="124">
        <f t="shared" si="2"/>
        <v>166653.68455942956</v>
      </c>
      <c r="I12" s="129"/>
      <c r="J12" s="126">
        <f t="shared" si="3"/>
        <v>1132836.4412287506</v>
      </c>
    </row>
    <row r="13" spans="3:15" ht="16.5" thickBot="1" x14ac:dyDescent="0.3">
      <c r="C13" s="276">
        <f t="shared" si="0"/>
        <v>8.64</v>
      </c>
      <c r="D13" s="303">
        <f t="shared" si="1"/>
        <v>0.16666666666666666</v>
      </c>
      <c r="E13" s="122">
        <v>2.5</v>
      </c>
      <c r="F13" s="123">
        <f t="shared" si="4"/>
        <v>41.348125743052165</v>
      </c>
      <c r="G13" s="122">
        <f t="shared" si="5"/>
        <v>2038</v>
      </c>
      <c r="H13" s="124">
        <f t="shared" si="2"/>
        <v>167603.61056141832</v>
      </c>
      <c r="I13" s="130"/>
      <c r="J13" s="126">
        <f t="shared" si="3"/>
        <v>1155015.8607471783</v>
      </c>
    </row>
    <row r="14" spans="3:15" ht="16.5" thickBot="1" x14ac:dyDescent="0.3">
      <c r="C14" s="276">
        <f t="shared" si="0"/>
        <v>9.5040000000000013</v>
      </c>
      <c r="D14" s="303">
        <f t="shared" si="1"/>
        <v>0.16666666666666666</v>
      </c>
      <c r="E14" s="122">
        <v>2.5</v>
      </c>
      <c r="F14" s="123">
        <f t="shared" si="4"/>
        <v>41.918729878306287</v>
      </c>
      <c r="G14" s="122">
        <f t="shared" si="5"/>
        <v>2039</v>
      </c>
      <c r="H14" s="124">
        <f t="shared" si="2"/>
        <v>168558.9511416184</v>
      </c>
      <c r="I14" s="128"/>
      <c r="J14" s="126">
        <f t="shared" si="3"/>
        <v>1177629.5235793546</v>
      </c>
    </row>
    <row r="15" spans="3:15" ht="16.5" thickBot="1" x14ac:dyDescent="0.3">
      <c r="C15" s="276">
        <f t="shared" si="0"/>
        <v>10.368000000000002</v>
      </c>
      <c r="D15" s="303">
        <f t="shared" si="1"/>
        <v>0.16666666666666666</v>
      </c>
      <c r="E15" s="122">
        <v>2.5</v>
      </c>
      <c r="F15" s="123">
        <f t="shared" si="4"/>
        <v>42.497208350626913</v>
      </c>
      <c r="G15" s="122">
        <f t="shared" si="5"/>
        <v>2040</v>
      </c>
      <c r="H15" s="124">
        <f t="shared" si="2"/>
        <v>169519.73716312562</v>
      </c>
      <c r="I15" s="125"/>
      <c r="J15" s="126">
        <f t="shared" si="3"/>
        <v>1200685.9316274768</v>
      </c>
    </row>
    <row r="16" spans="3:15" ht="16.5" thickBot="1" x14ac:dyDescent="0.3">
      <c r="C16" s="276">
        <f t="shared" si="0"/>
        <v>11.232000000000003</v>
      </c>
      <c r="D16" s="303">
        <f t="shared" si="1"/>
        <v>0.16666666666666666</v>
      </c>
      <c r="E16" s="122">
        <v>2.5</v>
      </c>
      <c r="F16" s="123">
        <f t="shared" si="4"/>
        <v>43.083669825865563</v>
      </c>
      <c r="G16" s="122">
        <f t="shared" si="5"/>
        <v>2041</v>
      </c>
      <c r="H16" s="124">
        <f t="shared" si="2"/>
        <v>170485.99966495545</v>
      </c>
      <c r="I16" s="131"/>
      <c r="J16" s="126">
        <f t="shared" si="3"/>
        <v>1224193.7532495945</v>
      </c>
    </row>
    <row r="17" spans="3:12" ht="16.5" thickBot="1" x14ac:dyDescent="0.3">
      <c r="C17" s="276">
        <f t="shared" si="0"/>
        <v>12.096000000000004</v>
      </c>
      <c r="D17" s="303">
        <f t="shared" si="1"/>
        <v>0.16666666666666666</v>
      </c>
      <c r="E17" s="122">
        <v>2.5</v>
      </c>
      <c r="F17" s="123">
        <f t="shared" si="4"/>
        <v>43.678224469462506</v>
      </c>
      <c r="G17" s="122">
        <f t="shared" si="5"/>
        <v>2042</v>
      </c>
      <c r="H17" s="124">
        <f t="shared" si="2"/>
        <v>171457.76986304572</v>
      </c>
      <c r="I17" s="131"/>
      <c r="J17" s="126">
        <f t="shared" si="3"/>
        <v>1248161.8265185924</v>
      </c>
    </row>
    <row r="18" spans="3:12" ht="16.5" thickBot="1" x14ac:dyDescent="0.3">
      <c r="C18" s="276">
        <f t="shared" si="0"/>
        <v>12.960000000000004</v>
      </c>
      <c r="D18" s="303">
        <f t="shared" si="1"/>
        <v>0.16666666666666666</v>
      </c>
      <c r="E18" s="122">
        <v>2.5</v>
      </c>
      <c r="F18" s="123">
        <f t="shared" si="4"/>
        <v>44.28098396714109</v>
      </c>
      <c r="G18" s="122">
        <f t="shared" si="5"/>
        <v>2043</v>
      </c>
      <c r="H18" s="124">
        <f t="shared" si="2"/>
        <v>172435.07915126509</v>
      </c>
      <c r="I18" s="125"/>
      <c r="J18" s="126">
        <f t="shared" si="3"/>
        <v>1272599.162544979</v>
      </c>
    </row>
    <row r="19" spans="3:12" ht="16.5" thickBot="1" x14ac:dyDescent="0.3">
      <c r="C19" s="276">
        <f t="shared" si="0"/>
        <v>13.824000000000005</v>
      </c>
      <c r="D19" s="303">
        <f t="shared" si="1"/>
        <v>0.16666666666666666</v>
      </c>
      <c r="E19" s="122">
        <v>2.5</v>
      </c>
      <c r="F19" s="123">
        <f t="shared" si="4"/>
        <v>44.892061545887636</v>
      </c>
      <c r="G19" s="122">
        <f t="shared" si="5"/>
        <v>2044</v>
      </c>
      <c r="H19" s="124">
        <f t="shared" si="2"/>
        <v>173417.9591024273</v>
      </c>
      <c r="I19" s="127"/>
      <c r="J19" s="126">
        <f t="shared" si="3"/>
        <v>1297514.9488647319</v>
      </c>
    </row>
    <row r="20" spans="3:12" ht="16.5" thickBot="1" x14ac:dyDescent="0.3">
      <c r="C20" s="276">
        <f t="shared" si="0"/>
        <v>14.688000000000006</v>
      </c>
      <c r="D20" s="303">
        <f t="shared" si="1"/>
        <v>0.16666666666666666</v>
      </c>
      <c r="E20" s="122">
        <v>2.5</v>
      </c>
      <c r="F20" s="123">
        <f t="shared" si="4"/>
        <v>45.511571995220883</v>
      </c>
      <c r="G20" s="122">
        <f t="shared" si="5"/>
        <v>2045</v>
      </c>
      <c r="H20" s="124">
        <f t="shared" si="2"/>
        <v>174406.44146931113</v>
      </c>
      <c r="I20" s="131"/>
      <c r="J20" s="126">
        <f t="shared" si="3"/>
        <v>1322918.5528934717</v>
      </c>
    </row>
    <row r="21" spans="3:12" ht="16.5" thickBot="1" x14ac:dyDescent="0.3">
      <c r="C21" s="276">
        <f t="shared" si="0"/>
        <v>15.552000000000007</v>
      </c>
      <c r="D21" s="303">
        <f t="shared" si="1"/>
        <v>0.16666666666666666</v>
      </c>
      <c r="E21" s="122">
        <v>2.5</v>
      </c>
      <c r="F21" s="123">
        <f t="shared" si="4"/>
        <v>46.139631688754932</v>
      </c>
      <c r="G21" s="122">
        <f t="shared" si="5"/>
        <v>2046</v>
      </c>
      <c r="H21" s="124">
        <f t="shared" si="2"/>
        <v>175400.55818568621</v>
      </c>
      <c r="I21" s="125"/>
      <c r="J21" s="126">
        <f t="shared" si="3"/>
        <v>1348819.525448265</v>
      </c>
    </row>
    <row r="22" spans="3:12" ht="16.5" thickBot="1" x14ac:dyDescent="0.3">
      <c r="C22" s="276">
        <f t="shared" si="0"/>
        <v>16.416000000000007</v>
      </c>
      <c r="D22" s="303">
        <f t="shared" si="1"/>
        <v>0.16666666666666666</v>
      </c>
      <c r="E22" s="122">
        <v>2.5</v>
      </c>
      <c r="F22" s="123">
        <f t="shared" si="4"/>
        <v>46.776358606059752</v>
      </c>
      <c r="G22" s="122">
        <f t="shared" si="5"/>
        <v>2047</v>
      </c>
      <c r="H22" s="124">
        <f t="shared" si="2"/>
        <v>176400.34136734463</v>
      </c>
      <c r="I22" s="127"/>
      <c r="J22" s="126">
        <f t="shared" si="3"/>
        <v>1375227.6043383782</v>
      </c>
    </row>
    <row r="23" spans="3:12" ht="16.5" thickBot="1" x14ac:dyDescent="0.3">
      <c r="C23" s="276">
        <f t="shared" si="0"/>
        <v>17.280000000000008</v>
      </c>
      <c r="D23" s="303">
        <f t="shared" si="1"/>
        <v>0.16666666666666666</v>
      </c>
      <c r="E23" s="122">
        <v>2.5</v>
      </c>
      <c r="F23" s="123">
        <f t="shared" si="4"/>
        <v>47.421872354823378</v>
      </c>
      <c r="G23" s="122">
        <f t="shared" si="5"/>
        <v>2048</v>
      </c>
      <c r="H23" s="124">
        <f t="shared" si="2"/>
        <v>177405.82331313851</v>
      </c>
      <c r="I23" s="125"/>
      <c r="J23" s="126">
        <f t="shared" si="3"/>
        <v>1402152.718026334</v>
      </c>
    </row>
    <row r="24" spans="3:12" ht="16.5" thickBot="1" x14ac:dyDescent="0.3">
      <c r="C24" s="276">
        <f t="shared" si="0"/>
        <v>18.144000000000009</v>
      </c>
      <c r="D24" s="303">
        <f t="shared" si="1"/>
        <v>0.16666666666666666</v>
      </c>
      <c r="E24" s="122">
        <v>2.5</v>
      </c>
      <c r="F24" s="123">
        <f t="shared" si="4"/>
        <v>48.076294193319939</v>
      </c>
      <c r="G24" s="122">
        <f t="shared" si="5"/>
        <v>2049</v>
      </c>
      <c r="H24" s="124">
        <f t="shared" si="2"/>
        <v>178417.0365060234</v>
      </c>
      <c r="I24" s="127"/>
      <c r="J24" s="126">
        <f t="shared" si="3"/>
        <v>1429604.9893606473</v>
      </c>
    </row>
    <row r="25" spans="3:12" ht="16.5" thickBot="1" x14ac:dyDescent="0.3">
      <c r="C25" s="276">
        <f t="shared" si="0"/>
        <v>19.00800000000001</v>
      </c>
      <c r="D25" s="303">
        <f t="shared" si="1"/>
        <v>0.16666666666666666</v>
      </c>
      <c r="E25" s="122">
        <v>2.5</v>
      </c>
      <c r="F25" s="123">
        <f t="shared" si="4"/>
        <v>48.739747053187756</v>
      </c>
      <c r="G25" s="122">
        <f t="shared" si="5"/>
        <v>2050</v>
      </c>
      <c r="H25" s="124">
        <f t="shared" si="2"/>
        <v>179434.01361410774</v>
      </c>
      <c r="I25" s="127"/>
      <c r="J25" s="126">
        <f t="shared" si="3"/>
        <v>1457594.7393816432</v>
      </c>
    </row>
    <row r="26" spans="3:12" ht="16.5" thickBot="1" x14ac:dyDescent="0.3">
      <c r="C26" s="276">
        <f t="shared" si="0"/>
        <v>19.872000000000011</v>
      </c>
      <c r="D26" s="303">
        <f t="shared" si="1"/>
        <v>0.16666666666666666</v>
      </c>
      <c r="E26" s="122">
        <v>2.5</v>
      </c>
      <c r="F26" s="123">
        <f t="shared" si="4"/>
        <v>49.412355562521746</v>
      </c>
      <c r="G26" s="122">
        <f t="shared" si="5"/>
        <v>2051</v>
      </c>
      <c r="H26" s="124">
        <f t="shared" si="2"/>
        <v>180456.78749170815</v>
      </c>
      <c r="I26" s="127"/>
      <c r="J26" s="126">
        <f t="shared" si="3"/>
        <v>1486132.4912017847</v>
      </c>
    </row>
    <row r="27" spans="3:12" ht="16.5" thickBot="1" x14ac:dyDescent="0.3">
      <c r="C27" s="276">
        <f t="shared" si="0"/>
        <v>20.736000000000011</v>
      </c>
      <c r="D27" s="303">
        <f t="shared" si="1"/>
        <v>0.16666666666666666</v>
      </c>
      <c r="E27" s="122">
        <v>2.5</v>
      </c>
      <c r="F27" s="123">
        <f t="shared" si="4"/>
        <v>50.094246069284544</v>
      </c>
      <c r="G27" s="122">
        <f t="shared" si="5"/>
        <v>2052</v>
      </c>
      <c r="H27" s="124">
        <f t="shared" si="2"/>
        <v>181485.39118041089</v>
      </c>
      <c r="I27" s="127"/>
      <c r="J27" s="126">
        <f t="shared" si="3"/>
        <v>1515228.9739619778</v>
      </c>
    </row>
    <row r="28" spans="3:12" ht="16.5" thickBot="1" x14ac:dyDescent="0.3">
      <c r="C28" s="276">
        <f t="shared" si="0"/>
        <v>21.600000000000012</v>
      </c>
      <c r="D28" s="303">
        <f t="shared" si="1"/>
        <v>0.16666666666666666</v>
      </c>
      <c r="E28" s="122">
        <v>2.5</v>
      </c>
      <c r="F28" s="123">
        <f t="shared" si="4"/>
        <v>50.78554666504067</v>
      </c>
      <c r="G28" s="122">
        <f>(G27+1)</f>
        <v>2053</v>
      </c>
      <c r="H28" s="124">
        <f t="shared" si="2"/>
        <v>182519.85791013925</v>
      </c>
      <c r="I28" s="127"/>
      <c r="J28" s="126">
        <f t="shared" si="3"/>
        <v>1544895.1268653281</v>
      </c>
    </row>
    <row r="29" spans="3:12" ht="16.5" thickBot="1" x14ac:dyDescent="0.3">
      <c r="C29" s="276">
        <f t="shared" si="0"/>
        <v>22.464000000000013</v>
      </c>
      <c r="D29" s="303">
        <f t="shared" si="1"/>
        <v>0.16666666666666666</v>
      </c>
      <c r="E29" s="122">
        <v>2.5</v>
      </c>
      <c r="F29" s="123">
        <f t="shared" si="4"/>
        <v>51.486387209018233</v>
      </c>
      <c r="G29" s="122">
        <f t="shared" ref="G29:G33" si="6">(G28+1)</f>
        <v>2054</v>
      </c>
      <c r="H29" s="124">
        <f t="shared" si="2"/>
        <v>183560.22110022706</v>
      </c>
      <c r="I29" s="127"/>
      <c r="J29" s="126">
        <f t="shared" si="3"/>
        <v>1575142.1032898815</v>
      </c>
    </row>
    <row r="30" spans="3:12" ht="16.5" thickBot="1" x14ac:dyDescent="0.3">
      <c r="C30" s="276">
        <f t="shared" si="0"/>
        <v>23.328000000000014</v>
      </c>
      <c r="D30" s="303">
        <f t="shared" si="1"/>
        <v>0.16666666666666666</v>
      </c>
      <c r="E30" s="122">
        <v>2.5</v>
      </c>
      <c r="F30" s="123">
        <f t="shared" si="4"/>
        <v>52.196899352502683</v>
      </c>
      <c r="G30" s="122">
        <f t="shared" si="6"/>
        <v>2055</v>
      </c>
      <c r="H30" s="124">
        <f t="shared" si="2"/>
        <v>184606.51436049838</v>
      </c>
      <c r="I30" s="127"/>
      <c r="J30" s="126">
        <f t="shared" si="3"/>
        <v>1605981.2749818789</v>
      </c>
      <c r="L30">
        <f>H35*0.166</f>
        <v>862213.08548271668</v>
      </c>
    </row>
    <row r="31" spans="3:12" ht="16.5" thickBot="1" x14ac:dyDescent="0.3">
      <c r="C31" s="276">
        <f t="shared" si="0"/>
        <v>24.192000000000014</v>
      </c>
      <c r="D31" s="303">
        <f t="shared" si="1"/>
        <v>0.16666666666666666</v>
      </c>
      <c r="E31" s="122">
        <v>2.5</v>
      </c>
      <c r="F31" s="123">
        <f t="shared" si="4"/>
        <v>52.917216563567223</v>
      </c>
      <c r="G31" s="122">
        <f t="shared" si="6"/>
        <v>2056</v>
      </c>
      <c r="H31" s="124">
        <f t="shared" si="2"/>
        <v>185658.77149235323</v>
      </c>
      <c r="I31" s="127"/>
      <c r="J31" s="126">
        <f t="shared" si="3"/>
        <v>1637424.2363311159</v>
      </c>
    </row>
    <row r="32" spans="3:12" ht="16.5" thickBot="1" x14ac:dyDescent="0.3">
      <c r="C32" s="276">
        <f t="shared" si="0"/>
        <v>25.056000000000015</v>
      </c>
      <c r="D32" s="303">
        <f t="shared" si="1"/>
        <v>0.16666666666666666</v>
      </c>
      <c r="E32" s="122">
        <v>2.5</v>
      </c>
      <c r="F32" s="123">
        <f t="shared" si="4"/>
        <v>53.647474152144447</v>
      </c>
      <c r="G32" s="122">
        <f t="shared" si="6"/>
        <v>2057</v>
      </c>
      <c r="H32" s="124">
        <f t="shared" si="2"/>
        <v>186717.02648985965</v>
      </c>
      <c r="I32" s="127"/>
      <c r="J32" s="126">
        <f t="shared" si="3"/>
        <v>1669482.8087300025</v>
      </c>
    </row>
    <row r="33" spans="3:10" ht="16.5" thickBot="1" x14ac:dyDescent="0.3">
      <c r="C33" s="180">
        <v>25.916</v>
      </c>
      <c r="D33" s="303">
        <f t="shared" si="1"/>
        <v>0.16666666666666666</v>
      </c>
      <c r="E33" s="122">
        <v>2.5</v>
      </c>
      <c r="F33" s="123">
        <f t="shared" si="4"/>
        <v>54.387809295444043</v>
      </c>
      <c r="G33" s="122">
        <f t="shared" si="6"/>
        <v>2058</v>
      </c>
      <c r="H33" s="124">
        <f t="shared" si="2"/>
        <v>187781.31354085187</v>
      </c>
      <c r="I33" s="127"/>
      <c r="J33" s="126">
        <f t="shared" si="3"/>
        <v>1702169.0450179726</v>
      </c>
    </row>
    <row r="34" spans="3:10" ht="16.5" thickBot="1" x14ac:dyDescent="0.3">
      <c r="C34" s="226">
        <f>SUM(C4:C33)</f>
        <v>401.75600000000014</v>
      </c>
      <c r="D34" s="277"/>
      <c r="E34" s="132" t="s">
        <v>103</v>
      </c>
      <c r="F34" s="132" t="s">
        <v>103</v>
      </c>
      <c r="G34" s="132" t="s">
        <v>103</v>
      </c>
      <c r="H34" s="133" t="s">
        <v>103</v>
      </c>
      <c r="I34" s="134"/>
      <c r="J34" s="225">
        <f>SUM(J4:J33)</f>
        <v>39095074.087117672</v>
      </c>
    </row>
    <row r="35" spans="3:10" x14ac:dyDescent="0.25">
      <c r="H35" s="328">
        <f>SUM(H4:H33)</f>
        <v>5194054.7318235943</v>
      </c>
    </row>
    <row r="36" spans="3:10" x14ac:dyDescent="0.25">
      <c r="C36" s="349"/>
      <c r="D36" s="349"/>
      <c r="E36" s="349"/>
      <c r="F36" s="349"/>
      <c r="G36" s="349"/>
    </row>
    <row r="37" spans="3:10" x14ac:dyDescent="0.25">
      <c r="C37" t="s">
        <v>108</v>
      </c>
    </row>
    <row r="40" spans="3:10" x14ac:dyDescent="0.25">
      <c r="C40" s="160"/>
      <c r="D40" s="235"/>
    </row>
    <row r="41" spans="3:10" x14ac:dyDescent="0.25">
      <c r="C41" s="160"/>
      <c r="D41" s="287"/>
    </row>
    <row r="42" spans="3:10" x14ac:dyDescent="0.25">
      <c r="C42" s="329">
        <v>2025</v>
      </c>
      <c r="D42" s="235"/>
    </row>
    <row r="43" spans="3:10" x14ac:dyDescent="0.25">
      <c r="C43" s="329">
        <f>C42+1</f>
        <v>2026</v>
      </c>
      <c r="D43" s="235"/>
    </row>
    <row r="44" spans="3:10" x14ac:dyDescent="0.25">
      <c r="C44" s="329">
        <f t="shared" ref="C44:C71" si="7">C43+1</f>
        <v>2027</v>
      </c>
      <c r="D44" s="235"/>
    </row>
    <row r="45" spans="3:10" x14ac:dyDescent="0.25">
      <c r="C45" s="329">
        <f t="shared" si="7"/>
        <v>2028</v>
      </c>
      <c r="D45" s="235"/>
    </row>
    <row r="46" spans="3:10" x14ac:dyDescent="0.25">
      <c r="C46" s="329">
        <f t="shared" si="7"/>
        <v>2029</v>
      </c>
      <c r="D46" s="235"/>
    </row>
    <row r="47" spans="3:10" x14ac:dyDescent="0.25">
      <c r="C47" s="329">
        <f t="shared" si="7"/>
        <v>2030</v>
      </c>
      <c r="D47" s="235"/>
    </row>
    <row r="48" spans="3:10" x14ac:dyDescent="0.25">
      <c r="C48" s="329">
        <f t="shared" si="7"/>
        <v>2031</v>
      </c>
      <c r="D48" s="235"/>
    </row>
    <row r="49" spans="3:4" x14ac:dyDescent="0.25">
      <c r="C49" s="329">
        <f t="shared" si="7"/>
        <v>2032</v>
      </c>
      <c r="D49" s="235"/>
    </row>
    <row r="50" spans="3:4" x14ac:dyDescent="0.25">
      <c r="C50" s="329">
        <f t="shared" si="7"/>
        <v>2033</v>
      </c>
      <c r="D50" s="235"/>
    </row>
    <row r="51" spans="3:4" x14ac:dyDescent="0.25">
      <c r="C51" s="329">
        <f t="shared" si="7"/>
        <v>2034</v>
      </c>
      <c r="D51" s="235"/>
    </row>
    <row r="52" spans="3:4" x14ac:dyDescent="0.25">
      <c r="C52" s="329">
        <f t="shared" si="7"/>
        <v>2035</v>
      </c>
      <c r="D52" s="235"/>
    </row>
    <row r="53" spans="3:4" x14ac:dyDescent="0.25">
      <c r="C53" s="329">
        <f t="shared" si="7"/>
        <v>2036</v>
      </c>
      <c r="D53" s="235"/>
    </row>
    <row r="54" spans="3:4" x14ac:dyDescent="0.25">
      <c r="C54" s="329">
        <f t="shared" si="7"/>
        <v>2037</v>
      </c>
      <c r="D54" s="235"/>
    </row>
    <row r="55" spans="3:4" x14ac:dyDescent="0.25">
      <c r="C55" s="329">
        <f t="shared" si="7"/>
        <v>2038</v>
      </c>
      <c r="D55" s="235"/>
    </row>
    <row r="56" spans="3:4" x14ac:dyDescent="0.25">
      <c r="C56" s="329">
        <f t="shared" si="7"/>
        <v>2039</v>
      </c>
      <c r="D56" s="235"/>
    </row>
    <row r="57" spans="3:4" x14ac:dyDescent="0.25">
      <c r="C57" s="329">
        <f t="shared" si="7"/>
        <v>2040</v>
      </c>
      <c r="D57" s="235"/>
    </row>
    <row r="58" spans="3:4" x14ac:dyDescent="0.25">
      <c r="C58" s="329">
        <f t="shared" si="7"/>
        <v>2041</v>
      </c>
      <c r="D58" s="235"/>
    </row>
    <row r="59" spans="3:4" x14ac:dyDescent="0.25">
      <c r="C59" s="329">
        <f t="shared" si="7"/>
        <v>2042</v>
      </c>
      <c r="D59" s="235"/>
    </row>
    <row r="60" spans="3:4" x14ac:dyDescent="0.25">
      <c r="C60" s="329">
        <f t="shared" si="7"/>
        <v>2043</v>
      </c>
      <c r="D60" s="235"/>
    </row>
    <row r="61" spans="3:4" x14ac:dyDescent="0.25">
      <c r="C61" s="329">
        <f t="shared" si="7"/>
        <v>2044</v>
      </c>
      <c r="D61" s="235"/>
    </row>
    <row r="62" spans="3:4" x14ac:dyDescent="0.25">
      <c r="C62" s="329">
        <f t="shared" si="7"/>
        <v>2045</v>
      </c>
      <c r="D62" s="235"/>
    </row>
    <row r="63" spans="3:4" x14ac:dyDescent="0.25">
      <c r="C63" s="329">
        <f t="shared" si="7"/>
        <v>2046</v>
      </c>
      <c r="D63" s="235"/>
    </row>
    <row r="64" spans="3:4" x14ac:dyDescent="0.25">
      <c r="C64" s="329">
        <f t="shared" si="7"/>
        <v>2047</v>
      </c>
      <c r="D64" s="235"/>
    </row>
    <row r="65" spans="3:4" x14ac:dyDescent="0.25">
      <c r="C65" s="329">
        <f t="shared" si="7"/>
        <v>2048</v>
      </c>
      <c r="D65" s="235"/>
    </row>
    <row r="66" spans="3:4" x14ac:dyDescent="0.25">
      <c r="C66" s="329">
        <f t="shared" si="7"/>
        <v>2049</v>
      </c>
      <c r="D66" s="235"/>
    </row>
    <row r="67" spans="3:4" x14ac:dyDescent="0.25">
      <c r="C67" s="329">
        <f t="shared" si="7"/>
        <v>2050</v>
      </c>
      <c r="D67" s="235"/>
    </row>
    <row r="68" spans="3:4" x14ac:dyDescent="0.25">
      <c r="C68" s="329">
        <f t="shared" si="7"/>
        <v>2051</v>
      </c>
      <c r="D68" s="235"/>
    </row>
    <row r="69" spans="3:4" x14ac:dyDescent="0.25">
      <c r="C69" s="329">
        <f t="shared" si="7"/>
        <v>2052</v>
      </c>
      <c r="D69" s="235"/>
    </row>
    <row r="70" spans="3:4" x14ac:dyDescent="0.25">
      <c r="C70" s="329">
        <f t="shared" si="7"/>
        <v>2053</v>
      </c>
      <c r="D70" s="235"/>
    </row>
    <row r="71" spans="3:4" x14ac:dyDescent="0.25">
      <c r="C71" s="329">
        <f t="shared" si="7"/>
        <v>2054</v>
      </c>
      <c r="D71" s="235"/>
    </row>
    <row r="72" spans="3:4" x14ac:dyDescent="0.25">
      <c r="D72" s="285"/>
    </row>
    <row r="83" spans="4:4" x14ac:dyDescent="0.25">
      <c r="D83" s="18"/>
    </row>
    <row r="85" spans="4:4" x14ac:dyDescent="0.25">
      <c r="D85" s="18"/>
    </row>
    <row r="87" spans="4:4" x14ac:dyDescent="0.25">
      <c r="D87" s="18"/>
    </row>
    <row r="93" spans="4:4" x14ac:dyDescent="0.25">
      <c r="D93" s="18"/>
    </row>
    <row r="95" spans="4:4" x14ac:dyDescent="0.25">
      <c r="D95" s="18"/>
    </row>
  </sheetData>
  <mergeCells count="2">
    <mergeCell ref="C36:G36"/>
    <mergeCell ref="D2:F2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5F79C1EB25E4C850CF90578E10163" ma:contentTypeVersion="12" ma:contentTypeDescription="Create a new document." ma:contentTypeScope="" ma:versionID="de553f1da38705b2166e4e06abad4f9c">
  <xsd:schema xmlns:xsd="http://www.w3.org/2001/XMLSchema" xmlns:xs="http://www.w3.org/2001/XMLSchema" xmlns:p="http://schemas.microsoft.com/office/2006/metadata/properties" xmlns:ns2="d7c5f650-196d-4dc7-8813-70bf504c015b" xmlns:ns3="7c0ee81e-6e27-4cde-8e7a-87cdd600093a" targetNamespace="http://schemas.microsoft.com/office/2006/metadata/properties" ma:root="true" ma:fieldsID="daedce69af7daf30576e3d5a84ee7afa" ns2:_="" ns3:_="">
    <xsd:import namespace="d7c5f650-196d-4dc7-8813-70bf504c015b"/>
    <xsd:import namespace="7c0ee81e-6e27-4cde-8e7a-87cdd60009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f650-196d-4dc7-8813-70bf504c0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ee81e-6e27-4cde-8e7a-87cdd60009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550B6-C0E3-45F3-8618-90FF3A3F2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5f650-196d-4dc7-8813-70bf504c015b"/>
    <ds:schemaRef ds:uri="7c0ee81e-6e27-4cde-8e7a-87cdd6000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B42FB-C1AE-4633-AF4B-B07C9B86527D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7c0ee81e-6e27-4cde-8e7a-87cdd600093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7c5f650-196d-4dc7-8813-70bf504c015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623ADF-98B5-4943-959C-02E74D98CA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Assumptions</vt:lpstr>
      <vt:lpstr>Vehicle Operation</vt:lpstr>
      <vt:lpstr>Health Benefits</vt:lpstr>
      <vt:lpstr>Cycling Journey</vt:lpstr>
      <vt:lpstr>SO2</vt:lpstr>
      <vt:lpstr>PM 2.5</vt:lpstr>
      <vt:lpstr>NOx</vt:lpstr>
      <vt:lpstr>Fuel Savings</vt:lpstr>
      <vt:lpstr>Travl Time Reduction</vt:lpstr>
      <vt:lpstr>Stillman Acc Ana</vt:lpstr>
      <vt:lpstr>Stillman Acc Benefits</vt:lpstr>
      <vt:lpstr>Sheet1</vt:lpstr>
      <vt:lpstr>High Level Prjc Cost</vt:lpstr>
      <vt:lpstr>Project Schedule</vt:lpstr>
      <vt:lpstr>7%NPV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Kalbacher</dc:creator>
  <cp:lastModifiedBy>karl kalbacher</cp:lastModifiedBy>
  <cp:lastPrinted>2022-05-13T15:45:45Z</cp:lastPrinted>
  <dcterms:created xsi:type="dcterms:W3CDTF">2017-10-10T16:45:09Z</dcterms:created>
  <dcterms:modified xsi:type="dcterms:W3CDTF">2026-01-14T16:56:12Z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0x0101007C25F79C1EB25E4C850CF90578E10163</vt:lpwstr>
  </property>
</Properties>
</file>